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4226"/>
  <bookViews>
    <workbookView xWindow="360" yWindow="90" windowWidth="11655" windowHeight="7935" tabRatio="891"/>
  </bookViews>
  <sheets>
    <sheet name="Hauptrunde" sheetId="1" r:id="rId1"/>
    <sheet name="Monsterfeldrechner" sheetId="13" r:id="rId2"/>
    <sheet name="Forschungskosten" sheetId="44" r:id="rId3"/>
    <sheet name="Daily" sheetId="31" r:id="rId4"/>
    <sheet name="Baukosten" sheetId="34" r:id="rId5"/>
    <sheet name="Gebäudebauzeit" sheetId="38" r:id="rId6"/>
    <sheet name="Levelrechner" sheetId="39" r:id="rId7"/>
    <sheet name="DamageCalc" sheetId="48" r:id="rId8"/>
    <sheet name="Einheitenwerte" sheetId="52" r:id="rId9"/>
  </sheets>
  <calcPr calcId="124519"/>
</workbook>
</file>

<file path=xl/calcChain.xml><?xml version="1.0" encoding="utf-8"?>
<calcChain xmlns="http://schemas.openxmlformats.org/spreadsheetml/2006/main">
  <c r="D7" i="34"/>
  <c r="D13" s="1"/>
  <c r="D8"/>
  <c r="D9"/>
  <c r="D10"/>
  <c r="D11"/>
  <c r="D12"/>
  <c r="D14"/>
  <c r="D19" s="1"/>
  <c r="D15"/>
  <c r="D16"/>
  <c r="D17"/>
  <c r="D18"/>
  <c r="F27" i="52"/>
  <c r="F26"/>
  <c r="F102" i="48"/>
  <c r="E102" s="1"/>
  <c r="D102"/>
  <c r="F101"/>
  <c r="D101"/>
  <c r="F100"/>
  <c r="D100"/>
  <c r="F99"/>
  <c r="E99" s="1"/>
  <c r="D99"/>
  <c r="F98"/>
  <c r="D98"/>
  <c r="F97"/>
  <c r="E97"/>
  <c r="D97"/>
  <c r="F96"/>
  <c r="D96"/>
  <c r="F95"/>
  <c r="D95"/>
  <c r="E95" s="1"/>
  <c r="F94"/>
  <c r="D94"/>
  <c r="F93"/>
  <c r="D93"/>
  <c r="E93" s="1"/>
  <c r="F92"/>
  <c r="D92"/>
  <c r="F91"/>
  <c r="E91" s="1"/>
  <c r="D91"/>
  <c r="F90"/>
  <c r="D90"/>
  <c r="F89"/>
  <c r="D89"/>
  <c r="E89" s="1"/>
  <c r="F88"/>
  <c r="D88"/>
  <c r="E88" s="1"/>
  <c r="F87"/>
  <c r="E87"/>
  <c r="D87"/>
  <c r="F86"/>
  <c r="E86" s="1"/>
  <c r="D86"/>
  <c r="F85"/>
  <c r="D85"/>
  <c r="F77"/>
  <c r="F74"/>
  <c r="F75"/>
  <c r="F76"/>
  <c r="F73"/>
  <c r="F72"/>
  <c r="F71"/>
  <c r="F68"/>
  <c r="F69"/>
  <c r="F70"/>
  <c r="F67"/>
  <c r="F66"/>
  <c r="F65"/>
  <c r="F62"/>
  <c r="F63"/>
  <c r="F64"/>
  <c r="F61"/>
  <c r="F60"/>
  <c r="D77"/>
  <c r="D74"/>
  <c r="D75"/>
  <c r="D76"/>
  <c r="D73"/>
  <c r="D72"/>
  <c r="D71"/>
  <c r="D68"/>
  <c r="D69"/>
  <c r="D70"/>
  <c r="D67"/>
  <c r="D66"/>
  <c r="D65"/>
  <c r="D62"/>
  <c r="D63"/>
  <c r="D64"/>
  <c r="D61"/>
  <c r="D60"/>
  <c r="W60" i="44"/>
  <c r="V60"/>
  <c r="U60"/>
  <c r="S60"/>
  <c r="R60"/>
  <c r="Q60"/>
  <c r="P60"/>
  <c r="O60"/>
  <c r="I60"/>
  <c r="W59"/>
  <c r="V59"/>
  <c r="U59"/>
  <c r="S59"/>
  <c r="R59"/>
  <c r="Q59"/>
  <c r="P59"/>
  <c r="O59"/>
  <c r="I59"/>
  <c r="W58"/>
  <c r="V58"/>
  <c r="U58"/>
  <c r="S58"/>
  <c r="R58"/>
  <c r="Q58"/>
  <c r="P58"/>
  <c r="O58"/>
  <c r="I58"/>
  <c r="E101" i="48" l="1"/>
  <c r="E85"/>
  <c r="E98"/>
  <c r="E92"/>
  <c r="E90"/>
  <c r="E96"/>
  <c r="E94"/>
  <c r="E100"/>
  <c r="W7" i="44" l="1"/>
  <c r="W43"/>
  <c r="W39"/>
  <c r="W38"/>
  <c r="W32"/>
  <c r="W28"/>
  <c r="W27"/>
  <c r="W22"/>
  <c r="W18"/>
  <c r="W17"/>
  <c r="W79"/>
  <c r="W78"/>
  <c r="W77"/>
  <c r="W75"/>
  <c r="W73"/>
  <c r="W72"/>
  <c r="W70"/>
  <c r="W69"/>
  <c r="W68"/>
  <c r="W62"/>
  <c r="W61"/>
  <c r="W55"/>
  <c r="W51"/>
  <c r="W52"/>
  <c r="W50"/>
  <c r="W117"/>
  <c r="W118"/>
  <c r="W119"/>
  <c r="W120"/>
  <c r="W121"/>
  <c r="W122"/>
  <c r="W116"/>
  <c r="W115"/>
  <c r="W114"/>
  <c r="W113"/>
  <c r="W111"/>
  <c r="W112"/>
  <c r="W110"/>
  <c r="W107"/>
  <c r="W108"/>
  <c r="W109"/>
  <c r="W106"/>
  <c r="W105"/>
  <c r="W104"/>
  <c r="W103"/>
  <c r="W102"/>
  <c r="W101"/>
  <c r="W100"/>
  <c r="W99"/>
  <c r="W98"/>
  <c r="W85"/>
  <c r="W86"/>
  <c r="W87"/>
  <c r="W88"/>
  <c r="W89"/>
  <c r="W90"/>
  <c r="W91"/>
  <c r="W92"/>
  <c r="W93"/>
  <c r="W94"/>
  <c r="W95"/>
  <c r="W96"/>
  <c r="W97"/>
  <c r="W84"/>
  <c r="W54"/>
  <c r="W56"/>
  <c r="W57"/>
  <c r="W63"/>
  <c r="W64"/>
  <c r="W65"/>
  <c r="W66"/>
  <c r="W67"/>
  <c r="W71"/>
  <c r="W74"/>
  <c r="W76"/>
  <c r="W80"/>
  <c r="W81"/>
  <c r="W53"/>
  <c r="W19"/>
  <c r="W20"/>
  <c r="W21"/>
  <c r="W23"/>
  <c r="W24"/>
  <c r="W25"/>
  <c r="W26"/>
  <c r="W29"/>
  <c r="W30"/>
  <c r="W31"/>
  <c r="W33"/>
  <c r="W34"/>
  <c r="W35"/>
  <c r="W36"/>
  <c r="W37"/>
  <c r="W40"/>
  <c r="W41"/>
  <c r="W42"/>
  <c r="W44"/>
  <c r="W45"/>
  <c r="W46"/>
  <c r="W47"/>
  <c r="W9"/>
  <c r="W10"/>
  <c r="W11"/>
  <c r="W12"/>
  <c r="W13"/>
  <c r="W14"/>
  <c r="W8"/>
  <c r="K31" i="52"/>
  <c r="K30"/>
  <c r="K29"/>
  <c r="K28"/>
  <c r="K27"/>
  <c r="F43"/>
  <c r="F41"/>
  <c r="F39"/>
  <c r="F38"/>
  <c r="F37"/>
  <c r="F35"/>
  <c r="R38" s="1"/>
  <c r="F34"/>
  <c r="T33" s="1"/>
  <c r="F33"/>
  <c r="F32"/>
  <c r="F31"/>
  <c r="F30"/>
  <c r="F29"/>
  <c r="S14" s="1"/>
  <c r="F28"/>
  <c r="F25"/>
  <c r="S12" s="1"/>
  <c r="F24"/>
  <c r="U12" s="1"/>
  <c r="F23"/>
  <c r="U22"/>
  <c r="T22"/>
  <c r="F22"/>
  <c r="F21"/>
  <c r="U20"/>
  <c r="F20"/>
  <c r="F19"/>
  <c r="T5" s="1"/>
  <c r="F18"/>
  <c r="U17"/>
  <c r="F17"/>
  <c r="F16"/>
  <c r="U15"/>
  <c r="F15"/>
  <c r="R14"/>
  <c r="Q14"/>
  <c r="F14"/>
  <c r="R21" s="1"/>
  <c r="R13"/>
  <c r="Q13"/>
  <c r="F13"/>
  <c r="R12"/>
  <c r="Q12"/>
  <c r="F12"/>
  <c r="Q16" s="1"/>
  <c r="U11"/>
  <c r="F11"/>
  <c r="U10"/>
  <c r="F10"/>
  <c r="T17" s="1"/>
  <c r="U9"/>
  <c r="F9"/>
  <c r="U8"/>
  <c r="F8"/>
  <c r="U7"/>
  <c r="F7"/>
  <c r="U6"/>
  <c r="F6"/>
  <c r="U5"/>
  <c r="F5"/>
  <c r="U4"/>
  <c r="F4"/>
  <c r="Q25" s="1"/>
  <c r="L19" i="34"/>
  <c r="J19"/>
  <c r="F19"/>
  <c r="L13"/>
  <c r="J13"/>
  <c r="L14"/>
  <c r="L8"/>
  <c r="L9"/>
  <c r="L15"/>
  <c r="L10"/>
  <c r="L12"/>
  <c r="L11"/>
  <c r="L16"/>
  <c r="L17"/>
  <c r="L18"/>
  <c r="L7"/>
  <c r="J14"/>
  <c r="J8"/>
  <c r="J9"/>
  <c r="J15"/>
  <c r="J10"/>
  <c r="J12"/>
  <c r="J11"/>
  <c r="J16"/>
  <c r="J17"/>
  <c r="J18"/>
  <c r="J7"/>
  <c r="H14"/>
  <c r="H8"/>
  <c r="H9"/>
  <c r="H15"/>
  <c r="H10"/>
  <c r="H12"/>
  <c r="H13" s="1"/>
  <c r="H11"/>
  <c r="H16"/>
  <c r="H17"/>
  <c r="H18"/>
  <c r="H7"/>
  <c r="F14"/>
  <c r="F8"/>
  <c r="F9"/>
  <c r="F15"/>
  <c r="F10"/>
  <c r="F12"/>
  <c r="F13" s="1"/>
  <c r="F11"/>
  <c r="F16"/>
  <c r="F17"/>
  <c r="F18"/>
  <c r="F7"/>
  <c r="H10" i="31"/>
  <c r="F13"/>
  <c r="G12"/>
  <c r="D11"/>
  <c r="H9"/>
  <c r="G9"/>
  <c r="F9"/>
  <c r="E9"/>
  <c r="D9"/>
  <c r="E7"/>
  <c r="R39" i="52" l="1"/>
  <c r="S45"/>
  <c r="R45"/>
  <c r="W123" i="44"/>
  <c r="W82"/>
  <c r="W48"/>
  <c r="W15"/>
  <c r="S46" i="52"/>
  <c r="H19" i="34"/>
  <c r="S47" i="52"/>
  <c r="Q47"/>
  <c r="Q45"/>
  <c r="Q46"/>
  <c r="R48"/>
  <c r="R47"/>
  <c r="R44"/>
  <c r="R46"/>
  <c r="R41"/>
  <c r="R40"/>
  <c r="R37"/>
  <c r="S25"/>
  <c r="R25"/>
  <c r="Q9"/>
  <c r="Q41"/>
  <c r="R36"/>
  <c r="S41"/>
  <c r="R35"/>
  <c r="S21"/>
  <c r="U13"/>
  <c r="S11"/>
  <c r="R28"/>
  <c r="Q5"/>
  <c r="Q11"/>
  <c r="Q18"/>
  <c r="T10"/>
  <c r="R9"/>
  <c r="R18"/>
  <c r="R7"/>
  <c r="S16"/>
  <c r="Q28"/>
  <c r="R10"/>
  <c r="R5"/>
  <c r="S26"/>
  <c r="S10"/>
  <c r="R20"/>
  <c r="R11"/>
  <c r="S4"/>
  <c r="Q20"/>
  <c r="Q24"/>
  <c r="R34"/>
  <c r="S24"/>
  <c r="R8"/>
  <c r="R24"/>
  <c r="Q8"/>
  <c r="Q21"/>
  <c r="S18"/>
  <c r="R4"/>
  <c r="S7"/>
  <c r="Q17"/>
  <c r="S23"/>
  <c r="R33"/>
  <c r="S39"/>
  <c r="S37"/>
  <c r="S40"/>
  <c r="Q32"/>
  <c r="Q34"/>
  <c r="S35"/>
  <c r="S13"/>
  <c r="S34"/>
  <c r="S48"/>
  <c r="Q40"/>
  <c r="Q48"/>
  <c r="T37"/>
  <c r="R17"/>
  <c r="Q27"/>
  <c r="Q31"/>
  <c r="T44"/>
  <c r="S20"/>
  <c r="Q35"/>
  <c r="S44"/>
  <c r="Q37"/>
  <c r="S27"/>
  <c r="S17"/>
  <c r="R23"/>
  <c r="R30"/>
  <c r="Q44"/>
  <c r="S42"/>
  <c r="R31"/>
  <c r="Q4"/>
  <c r="Q10"/>
  <c r="Q23"/>
  <c r="Q30"/>
  <c r="S6"/>
  <c r="R19"/>
  <c r="S29"/>
  <c r="S33"/>
  <c r="Q39"/>
  <c r="R42"/>
  <c r="R27"/>
  <c r="Q42"/>
  <c r="S30"/>
  <c r="S19"/>
  <c r="Q26"/>
  <c r="Q6"/>
  <c r="S22"/>
  <c r="Q29"/>
  <c r="Q33"/>
  <c r="S38"/>
  <c r="S43"/>
  <c r="R43"/>
  <c r="Q43"/>
  <c r="Q36"/>
  <c r="R32"/>
  <c r="S31"/>
  <c r="Q7"/>
  <c r="R16"/>
  <c r="R26"/>
  <c r="R6"/>
  <c r="S9"/>
  <c r="Q19"/>
  <c r="R29"/>
  <c r="S15"/>
  <c r="R15"/>
  <c r="R22"/>
  <c r="Q15"/>
  <c r="Q22"/>
  <c r="S28"/>
  <c r="S32"/>
  <c r="Q38"/>
  <c r="S5"/>
  <c r="S8"/>
  <c r="U14"/>
  <c r="S36"/>
  <c r="J29" i="48"/>
  <c r="J33" s="1"/>
  <c r="J40" s="1"/>
  <c r="J47" s="1"/>
  <c r="L29"/>
  <c r="L33" s="1"/>
  <c r="L40" s="1"/>
  <c r="L47" s="1"/>
  <c r="N29"/>
  <c r="N36" s="1"/>
  <c r="P29"/>
  <c r="P36" s="1"/>
  <c r="R29"/>
  <c r="R36" s="1"/>
  <c r="T29"/>
  <c r="T36" s="1"/>
  <c r="V29"/>
  <c r="V36" s="1"/>
  <c r="X29"/>
  <c r="X33" s="1"/>
  <c r="X40" s="1"/>
  <c r="X47" s="1"/>
  <c r="Z29"/>
  <c r="Z31" s="1"/>
  <c r="Z38" s="1"/>
  <c r="Z45" s="1"/>
  <c r="AB29"/>
  <c r="AB36" s="1"/>
  <c r="AD29"/>
  <c r="AD30" s="1"/>
  <c r="AD37" s="1"/>
  <c r="AD44" s="1"/>
  <c r="AF29"/>
  <c r="AF30" s="1"/>
  <c r="AF37" s="1"/>
  <c r="AF44" s="1"/>
  <c r="AH29"/>
  <c r="AH30" s="1"/>
  <c r="AH37" s="1"/>
  <c r="AH44" s="1"/>
  <c r="AJ29"/>
  <c r="AJ32" s="1"/>
  <c r="AJ39" s="1"/>
  <c r="AJ46" s="1"/>
  <c r="AL29"/>
  <c r="AL32" s="1"/>
  <c r="AL39" s="1"/>
  <c r="AL46" s="1"/>
  <c r="AN29"/>
  <c r="AN32" s="1"/>
  <c r="AN39" s="1"/>
  <c r="AN46" s="1"/>
  <c r="AP29"/>
  <c r="AP36" s="1"/>
  <c r="AR29"/>
  <c r="AR36" s="1"/>
  <c r="AT29"/>
  <c r="AT36" s="1"/>
  <c r="AV29"/>
  <c r="AV36" s="1"/>
  <c r="AX29"/>
  <c r="AX36" s="1"/>
  <c r="AZ29"/>
  <c r="AZ36" s="1"/>
  <c r="BB29"/>
  <c r="BB36" s="1"/>
  <c r="BD29"/>
  <c r="BD33" s="1"/>
  <c r="BD40" s="1"/>
  <c r="BD47" s="1"/>
  <c r="BF29"/>
  <c r="BF31" s="1"/>
  <c r="BF38" s="1"/>
  <c r="BF45" s="1"/>
  <c r="BH29"/>
  <c r="BH36" s="1"/>
  <c r="BJ29"/>
  <c r="BJ31" s="1"/>
  <c r="BJ38" s="1"/>
  <c r="BJ45" s="1"/>
  <c r="BL29"/>
  <c r="BL31" s="1"/>
  <c r="BL38" s="1"/>
  <c r="BL45" s="1"/>
  <c r="BN29"/>
  <c r="BN31" s="1"/>
  <c r="BN38" s="1"/>
  <c r="BN45" s="1"/>
  <c r="BP29"/>
  <c r="BP36" s="1"/>
  <c r="BR29"/>
  <c r="BR32" s="1"/>
  <c r="BR39" s="1"/>
  <c r="BR46" s="1"/>
  <c r="BT29"/>
  <c r="BT36" s="1"/>
  <c r="BV29"/>
  <c r="BV32" s="1"/>
  <c r="BV39" s="1"/>
  <c r="BV46" s="1"/>
  <c r="BX29"/>
  <c r="BX30" s="1"/>
  <c r="BX37" s="1"/>
  <c r="BX44" s="1"/>
  <c r="BZ29"/>
  <c r="BZ36" s="1"/>
  <c r="CB29"/>
  <c r="CB36" s="1"/>
  <c r="CD29"/>
  <c r="CD36" s="1"/>
  <c r="CF29"/>
  <c r="CF36" s="1"/>
  <c r="CH29"/>
  <c r="CH36" s="1"/>
  <c r="CJ29"/>
  <c r="CJ36" s="1"/>
  <c r="CL29"/>
  <c r="CL36" s="1"/>
  <c r="CN29"/>
  <c r="CN36" s="1"/>
  <c r="CP29"/>
  <c r="CP30" s="1"/>
  <c r="CP37" s="1"/>
  <c r="CP44" s="1"/>
  <c r="CR29"/>
  <c r="CR30" s="1"/>
  <c r="CR37" s="1"/>
  <c r="CR44" s="1"/>
  <c r="H29"/>
  <c r="H36" s="1"/>
  <c r="BN30"/>
  <c r="BN37" s="1"/>
  <c r="BN44" s="1"/>
  <c r="N31"/>
  <c r="N38" s="1"/>
  <c r="N45" s="1"/>
  <c r="BZ31"/>
  <c r="BZ38" s="1"/>
  <c r="BZ45" s="1"/>
  <c r="J32"/>
  <c r="J39" s="1"/>
  <c r="J46" s="1"/>
  <c r="L32"/>
  <c r="L39" s="1"/>
  <c r="L46" s="1"/>
  <c r="N32"/>
  <c r="N39" s="1"/>
  <c r="N46" s="1"/>
  <c r="CN32"/>
  <c r="CN39" s="1"/>
  <c r="CN46" s="1"/>
  <c r="N33"/>
  <c r="N40" s="1"/>
  <c r="N47" s="1"/>
  <c r="AF33"/>
  <c r="AF40" s="1"/>
  <c r="AF47" s="1"/>
  <c r="AT33"/>
  <c r="AT40" s="1"/>
  <c r="AT47" s="1"/>
  <c r="BN33"/>
  <c r="BN40" s="1"/>
  <c r="BN47" s="1"/>
  <c r="BR33"/>
  <c r="BR40" s="1"/>
  <c r="BR47" s="1"/>
  <c r="BZ33"/>
  <c r="BZ40" s="1"/>
  <c r="BZ47" s="1"/>
  <c r="CF33"/>
  <c r="CF40" s="1"/>
  <c r="CF47" s="1"/>
  <c r="CN33"/>
  <c r="CN40" s="1"/>
  <c r="CN47" s="1"/>
  <c r="CI77"/>
  <c r="CI102" s="1"/>
  <c r="Z77"/>
  <c r="Z102" s="1"/>
  <c r="CI76"/>
  <c r="CI101" s="1"/>
  <c r="AL76"/>
  <c r="AL101" s="1"/>
  <c r="CK75"/>
  <c r="CK100" s="1"/>
  <c r="CF75"/>
  <c r="CF100" s="1"/>
  <c r="CC74"/>
  <c r="CC99" s="1"/>
  <c r="CF74"/>
  <c r="CF99" s="1"/>
  <c r="CM73"/>
  <c r="CM98" s="1"/>
  <c r="BD73"/>
  <c r="BD98" s="1"/>
  <c r="CM72"/>
  <c r="CM97" s="1"/>
  <c r="BD72"/>
  <c r="BD97" s="1"/>
  <c r="BO71"/>
  <c r="BO96" s="1"/>
  <c r="L71"/>
  <c r="L96" s="1"/>
  <c r="BO70"/>
  <c r="BO95" s="1"/>
  <c r="AD70"/>
  <c r="AD95" s="1"/>
  <c r="AS69"/>
  <c r="AS94" s="1"/>
  <c r="AJ69"/>
  <c r="AJ94" s="1"/>
  <c r="BY68"/>
  <c r="BY93" s="1"/>
  <c r="T68"/>
  <c r="T93" s="1"/>
  <c r="CA67"/>
  <c r="CA92" s="1"/>
  <c r="CN67"/>
  <c r="CN92" s="1"/>
  <c r="CA66"/>
  <c r="CA91" s="1"/>
  <c r="CH66"/>
  <c r="CH91" s="1"/>
  <c r="CC65"/>
  <c r="CC90" s="1"/>
  <c r="CP65"/>
  <c r="CP90" s="1"/>
  <c r="CC64"/>
  <c r="CC89" s="1"/>
  <c r="V64"/>
  <c r="V89" s="1"/>
  <c r="CE63"/>
  <c r="CE88" s="1"/>
  <c r="N63"/>
  <c r="N88" s="1"/>
  <c r="CE62"/>
  <c r="CE87" s="1"/>
  <c r="AB62"/>
  <c r="AB87" s="1"/>
  <c r="CI61"/>
  <c r="CI86" s="1"/>
  <c r="Z61"/>
  <c r="Z86" s="1"/>
  <c r="CI60"/>
  <c r="CI85" s="1"/>
  <c r="Z60"/>
  <c r="Z85" s="1"/>
  <c r="G8"/>
  <c r="E8" s="1"/>
  <c r="E20" i="1"/>
  <c r="I81" s="1"/>
  <c r="L17" i="13"/>
  <c r="M17"/>
  <c r="N17"/>
  <c r="O17"/>
  <c r="O18"/>
  <c r="L18"/>
  <c r="M18"/>
  <c r="N18"/>
  <c r="O19"/>
  <c r="L19"/>
  <c r="M19"/>
  <c r="N19"/>
  <c r="O20"/>
  <c r="L20"/>
  <c r="M20"/>
  <c r="N20"/>
  <c r="O21"/>
  <c r="L21"/>
  <c r="M21"/>
  <c r="N21"/>
  <c r="O22"/>
  <c r="L22"/>
  <c r="M22"/>
  <c r="N22"/>
  <c r="L23"/>
  <c r="M23"/>
  <c r="N23"/>
  <c r="O23"/>
  <c r="O24"/>
  <c r="L24"/>
  <c r="M24"/>
  <c r="N24"/>
  <c r="O25"/>
  <c r="L25"/>
  <c r="M25"/>
  <c r="N25"/>
  <c r="O26"/>
  <c r="L26"/>
  <c r="M26"/>
  <c r="N26"/>
  <c r="O27"/>
  <c r="L27"/>
  <c r="M27"/>
  <c r="N27"/>
  <c r="O28"/>
  <c r="L28"/>
  <c r="M28"/>
  <c r="N28"/>
  <c r="O29"/>
  <c r="L29"/>
  <c r="M29"/>
  <c r="N29"/>
  <c r="O30"/>
  <c r="L30"/>
  <c r="M30"/>
  <c r="N30"/>
  <c r="O31"/>
  <c r="L31"/>
  <c r="M31"/>
  <c r="N31"/>
  <c r="O39" i="44"/>
  <c r="P39"/>
  <c r="Q39"/>
  <c r="R39"/>
  <c r="S39"/>
  <c r="V115"/>
  <c r="U115"/>
  <c r="V112"/>
  <c r="U112"/>
  <c r="V111"/>
  <c r="U111"/>
  <c r="V110"/>
  <c r="U110"/>
  <c r="V105"/>
  <c r="U105"/>
  <c r="V103"/>
  <c r="U103"/>
  <c r="U104"/>
  <c r="V104"/>
  <c r="V101"/>
  <c r="U101"/>
  <c r="V100"/>
  <c r="U100"/>
  <c r="U85"/>
  <c r="V85"/>
  <c r="U86"/>
  <c r="V86"/>
  <c r="U87"/>
  <c r="V87"/>
  <c r="U88"/>
  <c r="V88"/>
  <c r="U89"/>
  <c r="V89"/>
  <c r="U90"/>
  <c r="V90"/>
  <c r="U91"/>
  <c r="V91"/>
  <c r="U92"/>
  <c r="V92"/>
  <c r="U93"/>
  <c r="V93"/>
  <c r="U94"/>
  <c r="V94"/>
  <c r="U95"/>
  <c r="V95"/>
  <c r="U96"/>
  <c r="V96"/>
  <c r="U97"/>
  <c r="V97"/>
  <c r="V84"/>
  <c r="U84"/>
  <c r="V79"/>
  <c r="U79"/>
  <c r="V78"/>
  <c r="U78"/>
  <c r="V77"/>
  <c r="U77"/>
  <c r="V75"/>
  <c r="U75"/>
  <c r="V72"/>
  <c r="U72"/>
  <c r="V32"/>
  <c r="U32"/>
  <c r="V28"/>
  <c r="U28"/>
  <c r="V27"/>
  <c r="U27"/>
  <c r="V22"/>
  <c r="U22"/>
  <c r="V18"/>
  <c r="U18"/>
  <c r="V17"/>
  <c r="U17"/>
  <c r="V7"/>
  <c r="U7"/>
  <c r="V50"/>
  <c r="U50"/>
  <c r="V38"/>
  <c r="U38"/>
  <c r="V39"/>
  <c r="U39"/>
  <c r="V43"/>
  <c r="U43"/>
  <c r="V62"/>
  <c r="U62"/>
  <c r="V70"/>
  <c r="U70"/>
  <c r="V69"/>
  <c r="U69"/>
  <c r="V68"/>
  <c r="U68"/>
  <c r="V61"/>
  <c r="U61"/>
  <c r="V55"/>
  <c r="U55"/>
  <c r="V52"/>
  <c r="V51"/>
  <c r="U52"/>
  <c r="U51"/>
  <c r="U8"/>
  <c r="V8"/>
  <c r="U9"/>
  <c r="V9"/>
  <c r="U10"/>
  <c r="V10"/>
  <c r="U11"/>
  <c r="V11"/>
  <c r="U12"/>
  <c r="V12"/>
  <c r="U13"/>
  <c r="V13"/>
  <c r="U14"/>
  <c r="V14"/>
  <c r="U19"/>
  <c r="V19"/>
  <c r="U20"/>
  <c r="V20"/>
  <c r="U21"/>
  <c r="V21"/>
  <c r="U23"/>
  <c r="V23"/>
  <c r="U24"/>
  <c r="V24"/>
  <c r="U25"/>
  <c r="V25"/>
  <c r="U26"/>
  <c r="V26"/>
  <c r="U29"/>
  <c r="V29"/>
  <c r="U30"/>
  <c r="V30"/>
  <c r="U31"/>
  <c r="V31"/>
  <c r="U33"/>
  <c r="V33"/>
  <c r="U34"/>
  <c r="V34"/>
  <c r="U35"/>
  <c r="V35"/>
  <c r="U36"/>
  <c r="V36"/>
  <c r="U37"/>
  <c r="V37"/>
  <c r="U40"/>
  <c r="V40"/>
  <c r="U41"/>
  <c r="V41"/>
  <c r="U42"/>
  <c r="V42"/>
  <c r="U44"/>
  <c r="V44"/>
  <c r="U45"/>
  <c r="V45"/>
  <c r="U46"/>
  <c r="V46"/>
  <c r="U47"/>
  <c r="V47"/>
  <c r="U53"/>
  <c r="V53"/>
  <c r="U54"/>
  <c r="V54"/>
  <c r="U56"/>
  <c r="V56"/>
  <c r="U57"/>
  <c r="V57"/>
  <c r="U63"/>
  <c r="V63"/>
  <c r="U64"/>
  <c r="V64"/>
  <c r="U65"/>
  <c r="V65"/>
  <c r="U66"/>
  <c r="V66"/>
  <c r="U67"/>
  <c r="V67"/>
  <c r="U71"/>
  <c r="V71"/>
  <c r="U73"/>
  <c r="V73"/>
  <c r="U74"/>
  <c r="V74"/>
  <c r="U76"/>
  <c r="V76"/>
  <c r="U80"/>
  <c r="V80"/>
  <c r="U81"/>
  <c r="V81"/>
  <c r="U98"/>
  <c r="V98"/>
  <c r="U99"/>
  <c r="V99"/>
  <c r="U102"/>
  <c r="V102"/>
  <c r="U106"/>
  <c r="V106"/>
  <c r="U107"/>
  <c r="V107"/>
  <c r="U108"/>
  <c r="V108"/>
  <c r="U109"/>
  <c r="V109"/>
  <c r="U113"/>
  <c r="V113"/>
  <c r="U114"/>
  <c r="V114"/>
  <c r="U116"/>
  <c r="V116"/>
  <c r="U117"/>
  <c r="V117"/>
  <c r="U118"/>
  <c r="V118"/>
  <c r="U119"/>
  <c r="V119"/>
  <c r="U120"/>
  <c r="V120"/>
  <c r="U121"/>
  <c r="V121"/>
  <c r="U122"/>
  <c r="V122"/>
  <c r="I35" i="1"/>
  <c r="I75"/>
  <c r="I74"/>
  <c r="I73"/>
  <c r="I72"/>
  <c r="I71"/>
  <c r="AB30"/>
  <c r="Z38" s="1"/>
  <c r="F112"/>
  <c r="F113"/>
  <c r="F111"/>
  <c r="F110"/>
  <c r="F109"/>
  <c r="F104"/>
  <c r="F103"/>
  <c r="F102"/>
  <c r="F101"/>
  <c r="F100"/>
  <c r="H95"/>
  <c r="E75"/>
  <c r="D75"/>
  <c r="C75"/>
  <c r="E74"/>
  <c r="D74"/>
  <c r="C74"/>
  <c r="E73"/>
  <c r="D73"/>
  <c r="C73"/>
  <c r="E72"/>
  <c r="D72"/>
  <c r="C72"/>
  <c r="E71"/>
  <c r="D71"/>
  <c r="C71"/>
  <c r="E31"/>
  <c r="E32"/>
  <c r="E33"/>
  <c r="E34"/>
  <c r="E35"/>
  <c r="E39"/>
  <c r="E40"/>
  <c r="E41"/>
  <c r="E42"/>
  <c r="E43"/>
  <c r="E47"/>
  <c r="E48"/>
  <c r="E49"/>
  <c r="E50"/>
  <c r="E51"/>
  <c r="E55"/>
  <c r="E56"/>
  <c r="E57"/>
  <c r="E58"/>
  <c r="E59"/>
  <c r="E63"/>
  <c r="E64"/>
  <c r="E65"/>
  <c r="E66"/>
  <c r="E67"/>
  <c r="E79"/>
  <c r="E80"/>
  <c r="E81"/>
  <c r="E82"/>
  <c r="E83"/>
  <c r="O52" i="44"/>
  <c r="P52"/>
  <c r="Q52"/>
  <c r="R52"/>
  <c r="S52"/>
  <c r="O53"/>
  <c r="P53"/>
  <c r="Q53"/>
  <c r="R53"/>
  <c r="S53"/>
  <c r="O54"/>
  <c r="P54"/>
  <c r="Q54"/>
  <c r="R54"/>
  <c r="S54"/>
  <c r="O55"/>
  <c r="P55"/>
  <c r="Q55"/>
  <c r="R55"/>
  <c r="S55"/>
  <c r="O56"/>
  <c r="P56"/>
  <c r="Q56"/>
  <c r="R56"/>
  <c r="S56"/>
  <c r="O57"/>
  <c r="P57"/>
  <c r="Q57"/>
  <c r="R57"/>
  <c r="S57"/>
  <c r="O61"/>
  <c r="P61"/>
  <c r="Q61"/>
  <c r="R61"/>
  <c r="S61"/>
  <c r="I28"/>
  <c r="I12"/>
  <c r="I13"/>
  <c r="I14"/>
  <c r="I17"/>
  <c r="I18"/>
  <c r="I19"/>
  <c r="I20"/>
  <c r="I21"/>
  <c r="I22"/>
  <c r="I23"/>
  <c r="I24"/>
  <c r="I25"/>
  <c r="I26"/>
  <c r="I27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50"/>
  <c r="I51"/>
  <c r="I52"/>
  <c r="I53"/>
  <c r="I54"/>
  <c r="I55"/>
  <c r="I56"/>
  <c r="I57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7"/>
  <c r="I8"/>
  <c r="I9"/>
  <c r="I10"/>
  <c r="I11"/>
  <c r="S36"/>
  <c r="R36"/>
  <c r="Q36"/>
  <c r="P36"/>
  <c r="O36"/>
  <c r="O11"/>
  <c r="P11"/>
  <c r="Q11"/>
  <c r="R11"/>
  <c r="S11"/>
  <c r="S122"/>
  <c r="R122"/>
  <c r="Q122"/>
  <c r="P122"/>
  <c r="O122"/>
  <c r="S121"/>
  <c r="R121"/>
  <c r="Q121"/>
  <c r="P121"/>
  <c r="O121"/>
  <c r="S120"/>
  <c r="R120"/>
  <c r="Q120"/>
  <c r="P120"/>
  <c r="O120"/>
  <c r="S119"/>
  <c r="R119"/>
  <c r="Q119"/>
  <c r="P119"/>
  <c r="O119"/>
  <c r="S118"/>
  <c r="R118"/>
  <c r="Q118"/>
  <c r="P118"/>
  <c r="O118"/>
  <c r="S117"/>
  <c r="R117"/>
  <c r="Q117"/>
  <c r="P117"/>
  <c r="O117"/>
  <c r="S116"/>
  <c r="R116"/>
  <c r="Q116"/>
  <c r="P116"/>
  <c r="O116"/>
  <c r="S115"/>
  <c r="R115"/>
  <c r="Q115"/>
  <c r="P115"/>
  <c r="O115"/>
  <c r="S114"/>
  <c r="R114"/>
  <c r="Q114"/>
  <c r="P114"/>
  <c r="O114"/>
  <c r="S113"/>
  <c r="R113"/>
  <c r="Q113"/>
  <c r="P113"/>
  <c r="O113"/>
  <c r="S112"/>
  <c r="R112"/>
  <c r="Q112"/>
  <c r="P112"/>
  <c r="O112"/>
  <c r="S111"/>
  <c r="R111"/>
  <c r="Q111"/>
  <c r="P111"/>
  <c r="O111"/>
  <c r="S110"/>
  <c r="R110"/>
  <c r="Q110"/>
  <c r="P110"/>
  <c r="O110"/>
  <c r="S109"/>
  <c r="R109"/>
  <c r="Q109"/>
  <c r="P109"/>
  <c r="O109"/>
  <c r="S108"/>
  <c r="R108"/>
  <c r="Q108"/>
  <c r="P108"/>
  <c r="O108"/>
  <c r="S107"/>
  <c r="R107"/>
  <c r="Q107"/>
  <c r="P107"/>
  <c r="O107"/>
  <c r="S106"/>
  <c r="R106"/>
  <c r="Q106"/>
  <c r="P106"/>
  <c r="O106"/>
  <c r="S105"/>
  <c r="R105"/>
  <c r="Q105"/>
  <c r="P105"/>
  <c r="O105"/>
  <c r="S104"/>
  <c r="R104"/>
  <c r="Q104"/>
  <c r="P104"/>
  <c r="O104"/>
  <c r="S103"/>
  <c r="R103"/>
  <c r="Q103"/>
  <c r="P103"/>
  <c r="O103"/>
  <c r="S102"/>
  <c r="R102"/>
  <c r="Q102"/>
  <c r="P102"/>
  <c r="O102"/>
  <c r="S101"/>
  <c r="R101"/>
  <c r="Q101"/>
  <c r="P101"/>
  <c r="O101"/>
  <c r="S100"/>
  <c r="R100"/>
  <c r="Q100"/>
  <c r="P100"/>
  <c r="O100"/>
  <c r="S99"/>
  <c r="R99"/>
  <c r="Q99"/>
  <c r="P99"/>
  <c r="O99"/>
  <c r="S98"/>
  <c r="R98"/>
  <c r="Q98"/>
  <c r="P98"/>
  <c r="O98"/>
  <c r="S97"/>
  <c r="R97"/>
  <c r="Q97"/>
  <c r="P97"/>
  <c r="O97"/>
  <c r="S96"/>
  <c r="R96"/>
  <c r="Q96"/>
  <c r="P96"/>
  <c r="O96"/>
  <c r="S95"/>
  <c r="R95"/>
  <c r="Q95"/>
  <c r="P95"/>
  <c r="O95"/>
  <c r="S94"/>
  <c r="R94"/>
  <c r="Q94"/>
  <c r="P94"/>
  <c r="O94"/>
  <c r="S93"/>
  <c r="R93"/>
  <c r="Q93"/>
  <c r="P93"/>
  <c r="O93"/>
  <c r="S92"/>
  <c r="R92"/>
  <c r="Q92"/>
  <c r="P92"/>
  <c r="O92"/>
  <c r="S91"/>
  <c r="R91"/>
  <c r="Q91"/>
  <c r="P91"/>
  <c r="O91"/>
  <c r="S90"/>
  <c r="R90"/>
  <c r="Q90"/>
  <c r="P90"/>
  <c r="O90"/>
  <c r="S89"/>
  <c r="R89"/>
  <c r="Q89"/>
  <c r="P89"/>
  <c r="O89"/>
  <c r="S88"/>
  <c r="R88"/>
  <c r="Q88"/>
  <c r="P88"/>
  <c r="O88"/>
  <c r="S87"/>
  <c r="R87"/>
  <c r="Q87"/>
  <c r="P87"/>
  <c r="O87"/>
  <c r="S86"/>
  <c r="R86"/>
  <c r="Q86"/>
  <c r="P86"/>
  <c r="O86"/>
  <c r="S85"/>
  <c r="R85"/>
  <c r="Q85"/>
  <c r="P85"/>
  <c r="O85"/>
  <c r="S84"/>
  <c r="R84"/>
  <c r="Q84"/>
  <c r="P84"/>
  <c r="O84"/>
  <c r="S81"/>
  <c r="R81"/>
  <c r="Q81"/>
  <c r="P81"/>
  <c r="O81"/>
  <c r="S80"/>
  <c r="R80"/>
  <c r="Q80"/>
  <c r="P80"/>
  <c r="O80"/>
  <c r="S79"/>
  <c r="R79"/>
  <c r="Q79"/>
  <c r="P79"/>
  <c r="O79"/>
  <c r="S78"/>
  <c r="R78"/>
  <c r="Q78"/>
  <c r="P78"/>
  <c r="O78"/>
  <c r="S77"/>
  <c r="R77"/>
  <c r="Q77"/>
  <c r="P77"/>
  <c r="O77"/>
  <c r="S76"/>
  <c r="R76"/>
  <c r="Q76"/>
  <c r="P76"/>
  <c r="O76"/>
  <c r="S75"/>
  <c r="R75"/>
  <c r="Q75"/>
  <c r="P75"/>
  <c r="O75"/>
  <c r="S74"/>
  <c r="R74"/>
  <c r="Q74"/>
  <c r="P74"/>
  <c r="O74"/>
  <c r="S73"/>
  <c r="R73"/>
  <c r="Q73"/>
  <c r="P73"/>
  <c r="O73"/>
  <c r="S72"/>
  <c r="R72"/>
  <c r="Q72"/>
  <c r="P72"/>
  <c r="O72"/>
  <c r="S71"/>
  <c r="R71"/>
  <c r="Q71"/>
  <c r="P71"/>
  <c r="O71"/>
  <c r="S70"/>
  <c r="R70"/>
  <c r="Q70"/>
  <c r="P70"/>
  <c r="O70"/>
  <c r="S69"/>
  <c r="R69"/>
  <c r="Q69"/>
  <c r="P69"/>
  <c r="O69"/>
  <c r="S68"/>
  <c r="R68"/>
  <c r="Q68"/>
  <c r="P68"/>
  <c r="O68"/>
  <c r="S67"/>
  <c r="R67"/>
  <c r="Q67"/>
  <c r="P67"/>
  <c r="O67"/>
  <c r="S66"/>
  <c r="R66"/>
  <c r="Q66"/>
  <c r="P66"/>
  <c r="O66"/>
  <c r="S65"/>
  <c r="R65"/>
  <c r="Q65"/>
  <c r="P65"/>
  <c r="O65"/>
  <c r="S64"/>
  <c r="R64"/>
  <c r="Q64"/>
  <c r="P64"/>
  <c r="O64"/>
  <c r="S63"/>
  <c r="R63"/>
  <c r="Q63"/>
  <c r="P63"/>
  <c r="O63"/>
  <c r="S62"/>
  <c r="R62"/>
  <c r="Q62"/>
  <c r="P62"/>
  <c r="O62"/>
  <c r="S51"/>
  <c r="R51"/>
  <c r="Q51"/>
  <c r="P51"/>
  <c r="O51"/>
  <c r="S50"/>
  <c r="R50"/>
  <c r="Q50"/>
  <c r="P50"/>
  <c r="O50"/>
  <c r="S47"/>
  <c r="R47"/>
  <c r="Q47"/>
  <c r="P47"/>
  <c r="O47"/>
  <c r="S45"/>
  <c r="R45"/>
  <c r="Q45"/>
  <c r="P45"/>
  <c r="O45"/>
  <c r="S44"/>
  <c r="R44"/>
  <c r="Q44"/>
  <c r="P44"/>
  <c r="O44"/>
  <c r="S43"/>
  <c r="R43"/>
  <c r="Q43"/>
  <c r="P43"/>
  <c r="O43"/>
  <c r="S46"/>
  <c r="R46"/>
  <c r="Q46"/>
  <c r="P46"/>
  <c r="O46"/>
  <c r="S42"/>
  <c r="R42"/>
  <c r="Q42"/>
  <c r="P42"/>
  <c r="O42"/>
  <c r="S41"/>
  <c r="R41"/>
  <c r="Q41"/>
  <c r="P41"/>
  <c r="O41"/>
  <c r="S40"/>
  <c r="R40"/>
  <c r="Q40"/>
  <c r="P40"/>
  <c r="O40"/>
  <c r="S38"/>
  <c r="R38"/>
  <c r="Q38"/>
  <c r="P38"/>
  <c r="O38"/>
  <c r="S37"/>
  <c r="R37"/>
  <c r="Q37"/>
  <c r="P37"/>
  <c r="O37"/>
  <c r="S35"/>
  <c r="R35"/>
  <c r="Q35"/>
  <c r="P35"/>
  <c r="O35"/>
  <c r="S34"/>
  <c r="R34"/>
  <c r="Q34"/>
  <c r="P34"/>
  <c r="O34"/>
  <c r="S33"/>
  <c r="R33"/>
  <c r="Q33"/>
  <c r="P33"/>
  <c r="O33"/>
  <c r="S32"/>
  <c r="R32"/>
  <c r="Q32"/>
  <c r="P32"/>
  <c r="O32"/>
  <c r="S31"/>
  <c r="R31"/>
  <c r="Q31"/>
  <c r="P31"/>
  <c r="O31"/>
  <c r="S30"/>
  <c r="R30"/>
  <c r="Q30"/>
  <c r="P30"/>
  <c r="O30"/>
  <c r="S29"/>
  <c r="R29"/>
  <c r="Q29"/>
  <c r="P29"/>
  <c r="O29"/>
  <c r="S27"/>
  <c r="R27"/>
  <c r="Q27"/>
  <c r="P27"/>
  <c r="O27"/>
  <c r="S26"/>
  <c r="R26"/>
  <c r="Q26"/>
  <c r="P26"/>
  <c r="O26"/>
  <c r="S25"/>
  <c r="R25"/>
  <c r="Q25"/>
  <c r="P25"/>
  <c r="O25"/>
  <c r="S24"/>
  <c r="R24"/>
  <c r="Q24"/>
  <c r="P24"/>
  <c r="O24"/>
  <c r="S23"/>
  <c r="R23"/>
  <c r="Q23"/>
  <c r="P23"/>
  <c r="O23"/>
  <c r="S22"/>
  <c r="R22"/>
  <c r="Q22"/>
  <c r="P22"/>
  <c r="O22"/>
  <c r="S21"/>
  <c r="R21"/>
  <c r="Q21"/>
  <c r="P21"/>
  <c r="O21"/>
  <c r="S20"/>
  <c r="R20"/>
  <c r="Q20"/>
  <c r="P20"/>
  <c r="O20"/>
  <c r="S19"/>
  <c r="R19"/>
  <c r="Q19"/>
  <c r="P19"/>
  <c r="O19"/>
  <c r="S18"/>
  <c r="R18"/>
  <c r="Q18"/>
  <c r="P18"/>
  <c r="O18"/>
  <c r="S17"/>
  <c r="R17"/>
  <c r="Q17"/>
  <c r="P17"/>
  <c r="O17"/>
  <c r="S14"/>
  <c r="R14"/>
  <c r="Q14"/>
  <c r="P14"/>
  <c r="O14"/>
  <c r="S13"/>
  <c r="R13"/>
  <c r="Q13"/>
  <c r="P13"/>
  <c r="O13"/>
  <c r="S12"/>
  <c r="R12"/>
  <c r="Q12"/>
  <c r="P12"/>
  <c r="O12"/>
  <c r="S10"/>
  <c r="R10"/>
  <c r="Q10"/>
  <c r="P10"/>
  <c r="O10"/>
  <c r="S9"/>
  <c r="R9"/>
  <c r="Q9"/>
  <c r="P9"/>
  <c r="O9"/>
  <c r="S8"/>
  <c r="R8"/>
  <c r="Q8"/>
  <c r="P8"/>
  <c r="O8"/>
  <c r="S7"/>
  <c r="R7"/>
  <c r="Q7"/>
  <c r="P7"/>
  <c r="O7"/>
  <c r="U86" i="1"/>
  <c r="W86" s="1"/>
  <c r="U85"/>
  <c r="W85" s="1"/>
  <c r="I113"/>
  <c r="I112"/>
  <c r="I111"/>
  <c r="I110"/>
  <c r="I109"/>
  <c r="I104"/>
  <c r="I103"/>
  <c r="I102"/>
  <c r="I101"/>
  <c r="I100"/>
  <c r="E113"/>
  <c r="E112"/>
  <c r="E111"/>
  <c r="E110"/>
  <c r="E109"/>
  <c r="F32" i="39"/>
  <c r="F31"/>
  <c r="F30"/>
  <c r="F29"/>
  <c r="F28"/>
  <c r="F27"/>
  <c r="F26"/>
  <c r="F25"/>
  <c r="F24"/>
  <c r="F23"/>
  <c r="E32"/>
  <c r="E31"/>
  <c r="E30"/>
  <c r="E29"/>
  <c r="E28"/>
  <c r="E27"/>
  <c r="E26"/>
  <c r="E25"/>
  <c r="E24"/>
  <c r="E23"/>
  <c r="D32"/>
  <c r="D31"/>
  <c r="D30"/>
  <c r="D29"/>
  <c r="D28"/>
  <c r="D27"/>
  <c r="D26"/>
  <c r="D25"/>
  <c r="D24"/>
  <c r="D23"/>
  <c r="C32"/>
  <c r="C31"/>
  <c r="C30"/>
  <c r="C29"/>
  <c r="C28"/>
  <c r="C27"/>
  <c r="C26"/>
  <c r="C25"/>
  <c r="C24"/>
  <c r="C23"/>
  <c r="B32"/>
  <c r="B31"/>
  <c r="B30"/>
  <c r="B29"/>
  <c r="B28"/>
  <c r="B27"/>
  <c r="B26"/>
  <c r="B25"/>
  <c r="B24"/>
  <c r="B23"/>
  <c r="F7"/>
  <c r="F8" s="1"/>
  <c r="F9" s="1"/>
  <c r="F10" s="1"/>
  <c r="F11" s="1"/>
  <c r="F12" s="1"/>
  <c r="F13" s="1"/>
  <c r="F14" s="1"/>
  <c r="F15" s="1"/>
  <c r="F16" s="1"/>
  <c r="E16"/>
  <c r="E15"/>
  <c r="E14"/>
  <c r="E13"/>
  <c r="E12"/>
  <c r="E11"/>
  <c r="E10"/>
  <c r="E9"/>
  <c r="E8"/>
  <c r="E7"/>
  <c r="D16"/>
  <c r="D15"/>
  <c r="D14"/>
  <c r="D13"/>
  <c r="D12"/>
  <c r="D11"/>
  <c r="D10"/>
  <c r="D9"/>
  <c r="D8"/>
  <c r="D7"/>
  <c r="C16"/>
  <c r="C15"/>
  <c r="C14"/>
  <c r="C13"/>
  <c r="C12"/>
  <c r="C11"/>
  <c r="C10"/>
  <c r="C9"/>
  <c r="C8"/>
  <c r="C7"/>
  <c r="B7"/>
  <c r="B8" s="1"/>
  <c r="B9" s="1"/>
  <c r="B10" s="1"/>
  <c r="B11" s="1"/>
  <c r="B12" s="1"/>
  <c r="B13" s="1"/>
  <c r="B14" s="1"/>
  <c r="B15" s="1"/>
  <c r="B16" s="1"/>
  <c r="O7" i="34"/>
  <c r="P7"/>
  <c r="Q7"/>
  <c r="R7"/>
  <c r="O14"/>
  <c r="P14"/>
  <c r="Q14"/>
  <c r="R14"/>
  <c r="O8"/>
  <c r="P8"/>
  <c r="Q8"/>
  <c r="R8"/>
  <c r="O9"/>
  <c r="P9"/>
  <c r="Q9"/>
  <c r="R9"/>
  <c r="O15"/>
  <c r="P15"/>
  <c r="Q15"/>
  <c r="R15"/>
  <c r="O10"/>
  <c r="P10"/>
  <c r="Q10"/>
  <c r="R10"/>
  <c r="O12"/>
  <c r="P12"/>
  <c r="Q12"/>
  <c r="R12"/>
  <c r="O11"/>
  <c r="P11"/>
  <c r="Q11"/>
  <c r="R11"/>
  <c r="O16"/>
  <c r="P16"/>
  <c r="Q16"/>
  <c r="R16"/>
  <c r="O17"/>
  <c r="P17"/>
  <c r="Q17"/>
  <c r="R17"/>
  <c r="O18"/>
  <c r="P18"/>
  <c r="Q18"/>
  <c r="R18"/>
  <c r="N14"/>
  <c r="N8"/>
  <c r="N9"/>
  <c r="N15"/>
  <c r="N10"/>
  <c r="N12"/>
  <c r="N11"/>
  <c r="N16"/>
  <c r="N17"/>
  <c r="N18"/>
  <c r="N7"/>
  <c r="F36" i="38"/>
  <c r="E8"/>
  <c r="F8" s="1"/>
  <c r="E9"/>
  <c r="F9" s="1"/>
  <c r="E10"/>
  <c r="F10" s="1"/>
  <c r="E11"/>
  <c r="F11" s="1"/>
  <c r="E12"/>
  <c r="F12" s="1"/>
  <c r="E13"/>
  <c r="F13" s="1"/>
  <c r="E14"/>
  <c r="F14" s="1"/>
  <c r="E15"/>
  <c r="F15" s="1"/>
  <c r="E16"/>
  <c r="F16" s="1"/>
  <c r="E17"/>
  <c r="F17" s="1"/>
  <c r="E7"/>
  <c r="F7" s="1"/>
  <c r="AL49" i="1"/>
  <c r="AK49"/>
  <c r="AL32"/>
  <c r="AK32"/>
  <c r="AN53"/>
  <c r="AN49"/>
  <c r="AN36"/>
  <c r="AN32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21"/>
  <c r="AJ53"/>
  <c r="AJ52"/>
  <c r="AJ51"/>
  <c r="AJ50"/>
  <c r="AJ49"/>
  <c r="AJ36"/>
  <c r="AJ35"/>
  <c r="AJ34"/>
  <c r="AJ33"/>
  <c r="AJ32"/>
  <c r="E102"/>
  <c r="E103"/>
  <c r="E104"/>
  <c r="E101"/>
  <c r="E100"/>
  <c r="G95"/>
  <c r="F95"/>
  <c r="E95"/>
  <c r="D95"/>
  <c r="C95"/>
  <c r="B95"/>
  <c r="I67"/>
  <c r="I66"/>
  <c r="I65"/>
  <c r="I64"/>
  <c r="I63"/>
  <c r="I59"/>
  <c r="I58"/>
  <c r="I57"/>
  <c r="I56"/>
  <c r="I55"/>
  <c r="I51"/>
  <c r="I50"/>
  <c r="I49"/>
  <c r="I48"/>
  <c r="I47"/>
  <c r="I43"/>
  <c r="I42"/>
  <c r="I41"/>
  <c r="I40"/>
  <c r="I39"/>
  <c r="I34"/>
  <c r="I33"/>
  <c r="I31"/>
  <c r="I32"/>
  <c r="AA30"/>
  <c r="AA34" s="1"/>
  <c r="Z30"/>
  <c r="Z37" s="1"/>
  <c r="Y30"/>
  <c r="X30"/>
  <c r="W30"/>
  <c r="W35" s="1"/>
  <c r="V30"/>
  <c r="V34" s="1"/>
  <c r="D83"/>
  <c r="C83"/>
  <c r="D82"/>
  <c r="C82"/>
  <c r="D81"/>
  <c r="C81"/>
  <c r="D80"/>
  <c r="C80"/>
  <c r="D79"/>
  <c r="C79"/>
  <c r="D67"/>
  <c r="C67"/>
  <c r="D66"/>
  <c r="C66"/>
  <c r="D65"/>
  <c r="C65"/>
  <c r="D64"/>
  <c r="C64"/>
  <c r="D63"/>
  <c r="C63"/>
  <c r="D59"/>
  <c r="C59"/>
  <c r="D58"/>
  <c r="C58"/>
  <c r="D57"/>
  <c r="C57"/>
  <c r="D56"/>
  <c r="C56"/>
  <c r="D55"/>
  <c r="C55"/>
  <c r="D51"/>
  <c r="C51"/>
  <c r="D50"/>
  <c r="C50"/>
  <c r="D49"/>
  <c r="C49"/>
  <c r="D48"/>
  <c r="C48"/>
  <c r="D47"/>
  <c r="C47"/>
  <c r="D43"/>
  <c r="C43"/>
  <c r="D42"/>
  <c r="C42"/>
  <c r="D41"/>
  <c r="C41"/>
  <c r="D40"/>
  <c r="C40"/>
  <c r="D39"/>
  <c r="C39"/>
  <c r="D35"/>
  <c r="D34"/>
  <c r="D33"/>
  <c r="D32"/>
  <c r="D31"/>
  <c r="C35"/>
  <c r="C34"/>
  <c r="C33"/>
  <c r="C32"/>
  <c r="C31"/>
  <c r="D13"/>
  <c r="E13"/>
  <c r="F13"/>
  <c r="G13"/>
  <c r="C13"/>
  <c r="B2" i="13"/>
  <c r="BZ32" i="48" l="1"/>
  <c r="BZ39" s="1"/>
  <c r="BZ46" s="1"/>
  <c r="BN32"/>
  <c r="BN39" s="1"/>
  <c r="BN46" s="1"/>
  <c r="BL33"/>
  <c r="BL40" s="1"/>
  <c r="BL47" s="1"/>
  <c r="AT31"/>
  <c r="AT38" s="1"/>
  <c r="AT45" s="1"/>
  <c r="AT32"/>
  <c r="AT39" s="1"/>
  <c r="AT46" s="1"/>
  <c r="AH32"/>
  <c r="AH39" s="1"/>
  <c r="AH46" s="1"/>
  <c r="AF32"/>
  <c r="AF39" s="1"/>
  <c r="AF46" s="1"/>
  <c r="R33"/>
  <c r="R40" s="1"/>
  <c r="R47" s="1"/>
  <c r="W125" i="44"/>
  <c r="F72" i="1"/>
  <c r="H72" s="1"/>
  <c r="J72" s="1"/>
  <c r="K72" s="1"/>
  <c r="BF33" i="48"/>
  <c r="BF40" s="1"/>
  <c r="BF47" s="1"/>
  <c r="AB31"/>
  <c r="AB38" s="1"/>
  <c r="AB45" s="1"/>
  <c r="BF32"/>
  <c r="BF39" s="1"/>
  <c r="BF46" s="1"/>
  <c r="AD31"/>
  <c r="AD38" s="1"/>
  <c r="AD45" s="1"/>
  <c r="BH32"/>
  <c r="BH39" s="1"/>
  <c r="BH46" s="1"/>
  <c r="BJ32"/>
  <c r="BJ39" s="1"/>
  <c r="BJ46" s="1"/>
  <c r="BH31"/>
  <c r="BH38" s="1"/>
  <c r="BH45" s="1"/>
  <c r="CL33"/>
  <c r="CL40" s="1"/>
  <c r="CL47" s="1"/>
  <c r="CN31"/>
  <c r="CN38" s="1"/>
  <c r="CN45" s="1"/>
  <c r="CP33"/>
  <c r="CP40" s="1"/>
  <c r="CP47" s="1"/>
  <c r="Z33"/>
  <c r="Z40" s="1"/>
  <c r="Z47" s="1"/>
  <c r="R32"/>
  <c r="R39" s="1"/>
  <c r="R46" s="1"/>
  <c r="AB33"/>
  <c r="AB40" s="1"/>
  <c r="AB47" s="1"/>
  <c r="T32"/>
  <c r="T39" s="1"/>
  <c r="T46" s="1"/>
  <c r="AD33"/>
  <c r="AD40" s="1"/>
  <c r="AD47" s="1"/>
  <c r="Z32"/>
  <c r="Z39" s="1"/>
  <c r="Z46" s="1"/>
  <c r="L30"/>
  <c r="L37" s="1"/>
  <c r="L44" s="1"/>
  <c r="AB32"/>
  <c r="AB39" s="1"/>
  <c r="AB46" s="1"/>
  <c r="AB30"/>
  <c r="AB37" s="1"/>
  <c r="AB44" s="1"/>
  <c r="AH33"/>
  <c r="AH40" s="1"/>
  <c r="AH47" s="1"/>
  <c r="AD32"/>
  <c r="AD39" s="1"/>
  <c r="AD46" s="1"/>
  <c r="BH30"/>
  <c r="BH37" s="1"/>
  <c r="BH44" s="1"/>
  <c r="AR32"/>
  <c r="AR39" s="1"/>
  <c r="AR46" s="1"/>
  <c r="AF31"/>
  <c r="AF38" s="1"/>
  <c r="AF45" s="1"/>
  <c r="AH31"/>
  <c r="AH38" s="1"/>
  <c r="AH45" s="1"/>
  <c r="BT33"/>
  <c r="BT40" s="1"/>
  <c r="BT47" s="1"/>
  <c r="BL32"/>
  <c r="BL39" s="1"/>
  <c r="BL46" s="1"/>
  <c r="CB32"/>
  <c r="CB39" s="1"/>
  <c r="CB46" s="1"/>
  <c r="CB33"/>
  <c r="CB40" s="1"/>
  <c r="CB47" s="1"/>
  <c r="P33"/>
  <c r="P40" s="1"/>
  <c r="P47" s="1"/>
  <c r="T33"/>
  <c r="T40" s="1"/>
  <c r="T47" s="1"/>
  <c r="AV31"/>
  <c r="AV38" s="1"/>
  <c r="AV45" s="1"/>
  <c r="AZ32"/>
  <c r="AZ39" s="1"/>
  <c r="AZ46" s="1"/>
  <c r="BD32"/>
  <c r="BD39" s="1"/>
  <c r="BD46" s="1"/>
  <c r="AV30"/>
  <c r="AV37" s="1"/>
  <c r="AV44" s="1"/>
  <c r="AX30"/>
  <c r="AX37" s="1"/>
  <c r="AX44" s="1"/>
  <c r="AZ30"/>
  <c r="AZ37" s="1"/>
  <c r="AZ44" s="1"/>
  <c r="P32"/>
  <c r="P39" s="1"/>
  <c r="P46" s="1"/>
  <c r="BF30"/>
  <c r="BF37" s="1"/>
  <c r="BF44" s="1"/>
  <c r="CD33"/>
  <c r="CD40" s="1"/>
  <c r="CD47" s="1"/>
  <c r="X32"/>
  <c r="X39" s="1"/>
  <c r="X46" s="1"/>
  <c r="AX31"/>
  <c r="AX38" s="1"/>
  <c r="AX45" s="1"/>
  <c r="BL30"/>
  <c r="BL37" s="1"/>
  <c r="BL44" s="1"/>
  <c r="AZ31"/>
  <c r="AZ38" s="1"/>
  <c r="AZ45" s="1"/>
  <c r="CB30"/>
  <c r="CB37" s="1"/>
  <c r="CB44" s="1"/>
  <c r="CD32"/>
  <c r="CD39" s="1"/>
  <c r="CD46" s="1"/>
  <c r="CD30"/>
  <c r="CD37" s="1"/>
  <c r="CD44" s="1"/>
  <c r="AV33"/>
  <c r="AV40" s="1"/>
  <c r="AV47" s="1"/>
  <c r="CF32"/>
  <c r="CF39" s="1"/>
  <c r="CF46" s="1"/>
  <c r="CB31"/>
  <c r="CB38" s="1"/>
  <c r="CB45" s="1"/>
  <c r="CF30"/>
  <c r="CF37" s="1"/>
  <c r="CF44" s="1"/>
  <c r="CR33"/>
  <c r="CR40" s="1"/>
  <c r="CR47" s="1"/>
  <c r="AX33"/>
  <c r="AX40" s="1"/>
  <c r="AX47" s="1"/>
  <c r="CJ32"/>
  <c r="CJ39" s="1"/>
  <c r="CJ46" s="1"/>
  <c r="CD31"/>
  <c r="CD38" s="1"/>
  <c r="CD45" s="1"/>
  <c r="CN30"/>
  <c r="CN37" s="1"/>
  <c r="CN44" s="1"/>
  <c r="P30"/>
  <c r="P37" s="1"/>
  <c r="P44" s="1"/>
  <c r="AZ33"/>
  <c r="AZ40" s="1"/>
  <c r="AZ47" s="1"/>
  <c r="CL32"/>
  <c r="CL39" s="1"/>
  <c r="CL46" s="1"/>
  <c r="CF31"/>
  <c r="CF38" s="1"/>
  <c r="CF45" s="1"/>
  <c r="R30"/>
  <c r="R37" s="1"/>
  <c r="R44" s="1"/>
  <c r="P31"/>
  <c r="P38" s="1"/>
  <c r="P45" s="1"/>
  <c r="T30"/>
  <c r="T37" s="1"/>
  <c r="T44" s="1"/>
  <c r="BH33"/>
  <c r="BH40" s="1"/>
  <c r="BH47" s="1"/>
  <c r="CP32"/>
  <c r="CP39" s="1"/>
  <c r="CP46" s="1"/>
  <c r="AV32"/>
  <c r="AV39" s="1"/>
  <c r="AV46" s="1"/>
  <c r="CP31"/>
  <c r="CP38" s="1"/>
  <c r="CP45" s="1"/>
  <c r="R31"/>
  <c r="R38" s="1"/>
  <c r="R45" s="1"/>
  <c r="X30"/>
  <c r="X37" s="1"/>
  <c r="X44" s="1"/>
  <c r="BJ33"/>
  <c r="BJ40" s="1"/>
  <c r="BJ47" s="1"/>
  <c r="CR32"/>
  <c r="CR39" s="1"/>
  <c r="CR46" s="1"/>
  <c r="AX32"/>
  <c r="AX39" s="1"/>
  <c r="AX46" s="1"/>
  <c r="CR31"/>
  <c r="CR38" s="1"/>
  <c r="CR45" s="1"/>
  <c r="T31"/>
  <c r="T38" s="1"/>
  <c r="T45" s="1"/>
  <c r="Z30"/>
  <c r="Z37" s="1"/>
  <c r="Z44" s="1"/>
  <c r="BX36"/>
  <c r="L36"/>
  <c r="AP32"/>
  <c r="AP39" s="1"/>
  <c r="AP46" s="1"/>
  <c r="BD30"/>
  <c r="BD37" s="1"/>
  <c r="BD44" s="1"/>
  <c r="BJ30"/>
  <c r="BJ37" s="1"/>
  <c r="BJ44" s="1"/>
  <c r="BD36"/>
  <c r="X36"/>
  <c r="BF36"/>
  <c r="Z36"/>
  <c r="CP36"/>
  <c r="BJ36"/>
  <c r="AD36"/>
  <c r="CR36"/>
  <c r="BL36"/>
  <c r="AF36"/>
  <c r="J36"/>
  <c r="BN36"/>
  <c r="AH36"/>
  <c r="AJ36"/>
  <c r="BR36"/>
  <c r="AL36"/>
  <c r="AN36"/>
  <c r="BX32"/>
  <c r="BX39" s="1"/>
  <c r="BX46" s="1"/>
  <c r="J31"/>
  <c r="J38" s="1"/>
  <c r="J45" s="1"/>
  <c r="BV36"/>
  <c r="BP33"/>
  <c r="BP40" s="1"/>
  <c r="BP47" s="1"/>
  <c r="AJ33"/>
  <c r="AJ40" s="1"/>
  <c r="AJ47" s="1"/>
  <c r="BV33"/>
  <c r="BV40" s="1"/>
  <c r="BV47" s="1"/>
  <c r="AL33"/>
  <c r="AL40" s="1"/>
  <c r="AL47" s="1"/>
  <c r="BP31"/>
  <c r="BP38" s="1"/>
  <c r="BP45" s="1"/>
  <c r="BX33"/>
  <c r="BX40" s="1"/>
  <c r="BX47" s="1"/>
  <c r="AN33"/>
  <c r="AN40" s="1"/>
  <c r="AN47" s="1"/>
  <c r="BR31"/>
  <c r="BR38" s="1"/>
  <c r="BR45" s="1"/>
  <c r="BP30"/>
  <c r="BP37" s="1"/>
  <c r="BP44" s="1"/>
  <c r="AP33"/>
  <c r="AP40" s="1"/>
  <c r="AP47" s="1"/>
  <c r="BT31"/>
  <c r="BT38" s="1"/>
  <c r="BT45" s="1"/>
  <c r="BR30"/>
  <c r="BR37" s="1"/>
  <c r="BR44" s="1"/>
  <c r="AR33"/>
  <c r="AR40" s="1"/>
  <c r="AR47" s="1"/>
  <c r="BV31"/>
  <c r="BV38" s="1"/>
  <c r="BV45" s="1"/>
  <c r="BT30"/>
  <c r="BT37" s="1"/>
  <c r="BT44" s="1"/>
  <c r="AJ31"/>
  <c r="AJ38" s="1"/>
  <c r="AJ45" s="1"/>
  <c r="AJ30"/>
  <c r="AJ37" s="1"/>
  <c r="AJ44" s="1"/>
  <c r="AL31"/>
  <c r="AL38" s="1"/>
  <c r="AL45" s="1"/>
  <c r="AL30"/>
  <c r="AL37" s="1"/>
  <c r="AL44" s="1"/>
  <c r="BP32"/>
  <c r="BP39" s="1"/>
  <c r="BP46" s="1"/>
  <c r="AN31"/>
  <c r="AN38" s="1"/>
  <c r="AN45" s="1"/>
  <c r="AN30"/>
  <c r="AN37" s="1"/>
  <c r="AN44" s="1"/>
  <c r="AP31"/>
  <c r="AP38" s="1"/>
  <c r="AP45" s="1"/>
  <c r="AR30"/>
  <c r="AR37" s="1"/>
  <c r="AR44" s="1"/>
  <c r="BT32"/>
  <c r="BT39" s="1"/>
  <c r="BT46" s="1"/>
  <c r="V30"/>
  <c r="V37" s="1"/>
  <c r="V44" s="1"/>
  <c r="CH32"/>
  <c r="CH39" s="1"/>
  <c r="CH46" s="1"/>
  <c r="BB32"/>
  <c r="BB39" s="1"/>
  <c r="BB46" s="1"/>
  <c r="V32"/>
  <c r="V39" s="1"/>
  <c r="V46" s="1"/>
  <c r="CH31"/>
  <c r="CH38" s="1"/>
  <c r="CH45" s="1"/>
  <c r="CJ31"/>
  <c r="CJ38" s="1"/>
  <c r="CJ45" s="1"/>
  <c r="BB31"/>
  <c r="BB38" s="1"/>
  <c r="BB45" s="1"/>
  <c r="CL31"/>
  <c r="CL38" s="1"/>
  <c r="CL45" s="1"/>
  <c r="BD31"/>
  <c r="BD38" s="1"/>
  <c r="BD45" s="1"/>
  <c r="V31"/>
  <c r="V38" s="1"/>
  <c r="V45" s="1"/>
  <c r="X31"/>
  <c r="X38" s="1"/>
  <c r="X45" s="1"/>
  <c r="CH30"/>
  <c r="CH37" s="1"/>
  <c r="CH44" s="1"/>
  <c r="CH33"/>
  <c r="CH40" s="1"/>
  <c r="CH47" s="1"/>
  <c r="BB33"/>
  <c r="BB40" s="1"/>
  <c r="BB47" s="1"/>
  <c r="V33"/>
  <c r="V40" s="1"/>
  <c r="V47" s="1"/>
  <c r="CJ30"/>
  <c r="CJ37" s="1"/>
  <c r="CJ44" s="1"/>
  <c r="CJ33"/>
  <c r="CJ40" s="1"/>
  <c r="CJ47" s="1"/>
  <c r="CL30"/>
  <c r="CL37" s="1"/>
  <c r="CL44" s="1"/>
  <c r="BB30"/>
  <c r="BB37" s="1"/>
  <c r="BB44" s="1"/>
  <c r="BX31"/>
  <c r="BX38" s="1"/>
  <c r="BX45" s="1"/>
  <c r="AR31"/>
  <c r="AR38" s="1"/>
  <c r="AR45" s="1"/>
  <c r="L31"/>
  <c r="L38" s="1"/>
  <c r="L45" s="1"/>
  <c r="BV30"/>
  <c r="BV37" s="1"/>
  <c r="BV44" s="1"/>
  <c r="AP30"/>
  <c r="AP37" s="1"/>
  <c r="AP44" s="1"/>
  <c r="J30"/>
  <c r="J37" s="1"/>
  <c r="J44" s="1"/>
  <c r="BZ30"/>
  <c r="BZ37" s="1"/>
  <c r="BZ44" s="1"/>
  <c r="AT30"/>
  <c r="AT37" s="1"/>
  <c r="AT44" s="1"/>
  <c r="N30"/>
  <c r="N37" s="1"/>
  <c r="N44" s="1"/>
  <c r="H33"/>
  <c r="H40" s="1"/>
  <c r="H47" s="1"/>
  <c r="H32"/>
  <c r="H39" s="1"/>
  <c r="H46" s="1"/>
  <c r="H31"/>
  <c r="H38" s="1"/>
  <c r="H45" s="1"/>
  <c r="H30"/>
  <c r="H37" s="1"/>
  <c r="H44" s="1"/>
  <c r="CK73"/>
  <c r="CK98" s="1"/>
  <c r="AO73"/>
  <c r="AO98" s="1"/>
  <c r="CL72"/>
  <c r="CL97" s="1"/>
  <c r="AZ66"/>
  <c r="AZ91" s="1"/>
  <c r="AN72"/>
  <c r="AN97" s="1"/>
  <c r="AD64"/>
  <c r="AD89" s="1"/>
  <c r="AB72"/>
  <c r="AB97" s="1"/>
  <c r="R66"/>
  <c r="R91" s="1"/>
  <c r="AL72"/>
  <c r="AL97" s="1"/>
  <c r="AG73"/>
  <c r="AG98" s="1"/>
  <c r="BD71"/>
  <c r="BD96" s="1"/>
  <c r="BT67"/>
  <c r="BT92" s="1"/>
  <c r="AZ73"/>
  <c r="AZ98" s="1"/>
  <c r="CF72"/>
  <c r="CF97" s="1"/>
  <c r="AZ72"/>
  <c r="AZ97" s="1"/>
  <c r="CF71"/>
  <c r="CF96" s="1"/>
  <c r="AX72"/>
  <c r="AX97" s="1"/>
  <c r="AX73"/>
  <c r="AX98" s="1"/>
  <c r="AF72"/>
  <c r="AF97" s="1"/>
  <c r="BB72"/>
  <c r="BB97" s="1"/>
  <c r="P72"/>
  <c r="P97" s="1"/>
  <c r="BP72"/>
  <c r="BP97" s="1"/>
  <c r="AP72"/>
  <c r="AP97" s="1"/>
  <c r="AP66"/>
  <c r="AP91" s="1"/>
  <c r="AP65"/>
  <c r="AP90" s="1"/>
  <c r="AP64"/>
  <c r="AP89" s="1"/>
  <c r="AN64"/>
  <c r="AN89" s="1"/>
  <c r="AZ67"/>
  <c r="AZ92" s="1"/>
  <c r="CI75"/>
  <c r="CI100" s="1"/>
  <c r="BS75"/>
  <c r="BS100" s="1"/>
  <c r="AF75"/>
  <c r="AF100" s="1"/>
  <c r="Q75"/>
  <c r="Q100" s="1"/>
  <c r="AF74"/>
  <c r="AF99" s="1"/>
  <c r="BP74"/>
  <c r="BP99" s="1"/>
  <c r="P64"/>
  <c r="P89" s="1"/>
  <c r="BD67"/>
  <c r="BD92" s="1"/>
  <c r="BP61"/>
  <c r="BP86" s="1"/>
  <c r="CD67"/>
  <c r="CD92" s="1"/>
  <c r="L74"/>
  <c r="L99" s="1"/>
  <c r="BD64"/>
  <c r="BD89" s="1"/>
  <c r="BR74"/>
  <c r="BR99" s="1"/>
  <c r="CD64"/>
  <c r="CD89" s="1"/>
  <c r="J73"/>
  <c r="J98" s="1"/>
  <c r="V65"/>
  <c r="V90" s="1"/>
  <c r="BR64"/>
  <c r="BR89" s="1"/>
  <c r="CB72"/>
  <c r="CB97" s="1"/>
  <c r="N74"/>
  <c r="N99" s="1"/>
  <c r="Z64"/>
  <c r="Z89" s="1"/>
  <c r="AT72"/>
  <c r="AT97" s="1"/>
  <c r="BV73"/>
  <c r="BV98" s="1"/>
  <c r="H65"/>
  <c r="H90" s="1"/>
  <c r="Z67"/>
  <c r="Z92" s="1"/>
  <c r="AT74"/>
  <c r="AT99" s="1"/>
  <c r="BJ74"/>
  <c r="BJ99" s="1"/>
  <c r="H72"/>
  <c r="H97" s="1"/>
  <c r="CP75"/>
  <c r="CP100" s="1"/>
  <c r="AR64"/>
  <c r="AR89" s="1"/>
  <c r="BJ64"/>
  <c r="BJ89" s="1"/>
  <c r="CP72"/>
  <c r="CP97" s="1"/>
  <c r="AP61"/>
  <c r="AP86" s="1"/>
  <c r="AH74"/>
  <c r="AH99" s="1"/>
  <c r="AM71"/>
  <c r="AM96" s="1"/>
  <c r="AQ71"/>
  <c r="AQ96" s="1"/>
  <c r="CM71"/>
  <c r="CM96" s="1"/>
  <c r="M61"/>
  <c r="M86" s="1"/>
  <c r="AU61"/>
  <c r="AU86" s="1"/>
  <c r="CE77"/>
  <c r="CE102" s="1"/>
  <c r="AL71"/>
  <c r="AL96" s="1"/>
  <c r="BV71"/>
  <c r="BV96" s="1"/>
  <c r="M77"/>
  <c r="M102" s="1"/>
  <c r="AU77"/>
  <c r="AU102" s="1"/>
  <c r="CE61"/>
  <c r="CE86" s="1"/>
  <c r="AN71"/>
  <c r="AN96" s="1"/>
  <c r="BR63"/>
  <c r="BR88" s="1"/>
  <c r="BV68"/>
  <c r="BV93" s="1"/>
  <c r="BQ63"/>
  <c r="BQ88" s="1"/>
  <c r="BW63"/>
  <c r="BW88" s="1"/>
  <c r="CC63"/>
  <c r="CC88" s="1"/>
  <c r="AT71"/>
  <c r="AT96" s="1"/>
  <c r="AX67"/>
  <c r="AX92" s="1"/>
  <c r="BN75"/>
  <c r="BN100" s="1"/>
  <c r="CS65"/>
  <c r="CS90" s="1"/>
  <c r="BU65"/>
  <c r="BU90" s="1"/>
  <c r="CA65"/>
  <c r="CA90" s="1"/>
  <c r="BX75"/>
  <c r="BX100" s="1"/>
  <c r="CQ67"/>
  <c r="CQ92" s="1"/>
  <c r="AK71"/>
  <c r="AK96" s="1"/>
  <c r="BY67"/>
  <c r="BY92" s="1"/>
  <c r="CP60"/>
  <c r="CP85" s="1"/>
  <c r="AD65"/>
  <c r="AD90" s="1"/>
  <c r="AT73"/>
  <c r="AT98" s="1"/>
  <c r="AZ65"/>
  <c r="AZ90" s="1"/>
  <c r="U71"/>
  <c r="U96" s="1"/>
  <c r="AE71"/>
  <c r="AE96" s="1"/>
  <c r="BK71"/>
  <c r="BK96" s="1"/>
  <c r="P65"/>
  <c r="P90" s="1"/>
  <c r="CN65"/>
  <c r="CN90" s="1"/>
  <c r="BB65"/>
  <c r="BB90" s="1"/>
  <c r="CL61"/>
  <c r="CL86" s="1"/>
  <c r="S73"/>
  <c r="S98" s="1"/>
  <c r="AC73"/>
  <c r="AC98" s="1"/>
  <c r="BI73"/>
  <c r="BI98" s="1"/>
  <c r="T67"/>
  <c r="T92" s="1"/>
  <c r="AD60"/>
  <c r="AD85" s="1"/>
  <c r="AT75"/>
  <c r="AT100" s="1"/>
  <c r="AX70"/>
  <c r="AX95" s="1"/>
  <c r="AH65"/>
  <c r="AH90" s="1"/>
  <c r="CJ74"/>
  <c r="CJ99" s="1"/>
  <c r="O75"/>
  <c r="O100" s="1"/>
  <c r="AA75"/>
  <c r="AA100" s="1"/>
  <c r="BG75"/>
  <c r="BG100" s="1"/>
  <c r="L64"/>
  <c r="L89" s="1"/>
  <c r="R68"/>
  <c r="R93" s="1"/>
  <c r="AB73"/>
  <c r="AB98" s="1"/>
  <c r="AR65"/>
  <c r="AR90" s="1"/>
  <c r="AX71"/>
  <c r="AX96" s="1"/>
  <c r="BH65"/>
  <c r="BH90" s="1"/>
  <c r="CJ63"/>
  <c r="CJ88" s="1"/>
  <c r="K77"/>
  <c r="K102" s="1"/>
  <c r="BM77"/>
  <c r="BM102" s="1"/>
  <c r="BC77"/>
  <c r="BC102" s="1"/>
  <c r="R67"/>
  <c r="R92" s="1"/>
  <c r="AV69"/>
  <c r="AV94" s="1"/>
  <c r="BH63"/>
  <c r="BH88" s="1"/>
  <c r="CH65"/>
  <c r="CH90" s="1"/>
  <c r="K61"/>
  <c r="K86" s="1"/>
  <c r="BM61"/>
  <c r="BM86" s="1"/>
  <c r="BC61"/>
  <c r="BC86" s="1"/>
  <c r="N65"/>
  <c r="N90" s="1"/>
  <c r="AJ71"/>
  <c r="AJ96" s="1"/>
  <c r="AR67"/>
  <c r="AR92" s="1"/>
  <c r="AV68"/>
  <c r="AV93" s="1"/>
  <c r="BF67"/>
  <c r="BF92" s="1"/>
  <c r="BZ67"/>
  <c r="BZ92" s="1"/>
  <c r="I75"/>
  <c r="I100" s="1"/>
  <c r="BE63"/>
  <c r="BE88" s="1"/>
  <c r="BA63"/>
  <c r="BA88" s="1"/>
  <c r="J72"/>
  <c r="J97" s="1"/>
  <c r="R65"/>
  <c r="R90" s="1"/>
  <c r="AJ74"/>
  <c r="AJ99" s="1"/>
  <c r="AR72"/>
  <c r="AR97" s="1"/>
  <c r="AV63"/>
  <c r="AV88" s="1"/>
  <c r="BF65"/>
  <c r="BF90" s="1"/>
  <c r="BZ65"/>
  <c r="BZ90" s="1"/>
  <c r="W73"/>
  <c r="W98" s="1"/>
  <c r="AY65"/>
  <c r="AY90" s="1"/>
  <c r="N72"/>
  <c r="N97" s="1"/>
  <c r="R64"/>
  <c r="R89" s="1"/>
  <c r="BL64"/>
  <c r="BL89" s="1"/>
  <c r="AP67"/>
  <c r="AP92" s="1"/>
  <c r="AV67"/>
  <c r="AV92" s="1"/>
  <c r="BF64"/>
  <c r="BF89" s="1"/>
  <c r="CD69"/>
  <c r="CD94" s="1"/>
  <c r="Y67"/>
  <c r="Y92" s="1"/>
  <c r="AW67"/>
  <c r="AW92" s="1"/>
  <c r="AN77"/>
  <c r="AN102" s="1"/>
  <c r="E69"/>
  <c r="AF77"/>
  <c r="AF102" s="1"/>
  <c r="AB77"/>
  <c r="AB102" s="1"/>
  <c r="AN76"/>
  <c r="AN101" s="1"/>
  <c r="AR63"/>
  <c r="AR88" s="1"/>
  <c r="BR62"/>
  <c r="BR87" s="1"/>
  <c r="BP60"/>
  <c r="BP85" s="1"/>
  <c r="BP76"/>
  <c r="BP101" s="1"/>
  <c r="BF66"/>
  <c r="BF91" s="1"/>
  <c r="BH64"/>
  <c r="BH89" s="1"/>
  <c r="AH72"/>
  <c r="AH97" s="1"/>
  <c r="BJ65"/>
  <c r="BJ90" s="1"/>
  <c r="BJ68"/>
  <c r="BJ93" s="1"/>
  <c r="BN74"/>
  <c r="BN99" s="1"/>
  <c r="BV72"/>
  <c r="BV97" s="1"/>
  <c r="CB66"/>
  <c r="CB91" s="1"/>
  <c r="CD68"/>
  <c r="CD93" s="1"/>
  <c r="BZ66"/>
  <c r="BZ91" s="1"/>
  <c r="CH64"/>
  <c r="CH89" s="1"/>
  <c r="CJ62"/>
  <c r="CJ87" s="1"/>
  <c r="CL60"/>
  <c r="CL85" s="1"/>
  <c r="CL76"/>
  <c r="CL101" s="1"/>
  <c r="BX74"/>
  <c r="BX99" s="1"/>
  <c r="I76"/>
  <c r="I101" s="1"/>
  <c r="K60"/>
  <c r="K85" s="1"/>
  <c r="K76"/>
  <c r="K101" s="1"/>
  <c r="O74"/>
  <c r="O99" s="1"/>
  <c r="S72"/>
  <c r="S97" s="1"/>
  <c r="U70"/>
  <c r="U95" s="1"/>
  <c r="CO68"/>
  <c r="CO93" s="1"/>
  <c r="CQ66"/>
  <c r="CQ91" s="1"/>
  <c r="CS64"/>
  <c r="CS89" s="1"/>
  <c r="BQ62"/>
  <c r="BQ87" s="1"/>
  <c r="M60"/>
  <c r="M85" s="1"/>
  <c r="M62"/>
  <c r="M87" s="1"/>
  <c r="Q74"/>
  <c r="Q99" s="1"/>
  <c r="AG72"/>
  <c r="AG97" s="1"/>
  <c r="AM70"/>
  <c r="AM95" s="1"/>
  <c r="CG68"/>
  <c r="CG93" s="1"/>
  <c r="Y66"/>
  <c r="Y91" s="1"/>
  <c r="W74"/>
  <c r="W99" s="1"/>
  <c r="BE62"/>
  <c r="BE87" s="1"/>
  <c r="BM60"/>
  <c r="BM85" s="1"/>
  <c r="BM76"/>
  <c r="BM101" s="1"/>
  <c r="AA74"/>
  <c r="AA99" s="1"/>
  <c r="AC72"/>
  <c r="AC97" s="1"/>
  <c r="AE70"/>
  <c r="AE95" s="1"/>
  <c r="AI68"/>
  <c r="AI93" s="1"/>
  <c r="AK72"/>
  <c r="AK97" s="1"/>
  <c r="BU64"/>
  <c r="BU89" s="1"/>
  <c r="BW62"/>
  <c r="BW87" s="1"/>
  <c r="AU60"/>
  <c r="AU85" s="1"/>
  <c r="AU62"/>
  <c r="AU87" s="1"/>
  <c r="BS74"/>
  <c r="BS99" s="1"/>
  <c r="AO72"/>
  <c r="AO97" s="1"/>
  <c r="AQ70"/>
  <c r="AQ95" s="1"/>
  <c r="AS68"/>
  <c r="AS93" s="1"/>
  <c r="AW66"/>
  <c r="AW91" s="1"/>
  <c r="AY64"/>
  <c r="AY89" s="1"/>
  <c r="BA62"/>
  <c r="BA87" s="1"/>
  <c r="BC60"/>
  <c r="BC85" s="1"/>
  <c r="BC76"/>
  <c r="BC101" s="1"/>
  <c r="BG74"/>
  <c r="BG99" s="1"/>
  <c r="BI72"/>
  <c r="BI97" s="1"/>
  <c r="BK70"/>
  <c r="BK95" s="1"/>
  <c r="BO68"/>
  <c r="BO93" s="1"/>
  <c r="BY66"/>
  <c r="BY91" s="1"/>
  <c r="CA64"/>
  <c r="CA89" s="1"/>
  <c r="CC62"/>
  <c r="CC87" s="1"/>
  <c r="CE60"/>
  <c r="CE85" s="1"/>
  <c r="CE76"/>
  <c r="CE101" s="1"/>
  <c r="CI74"/>
  <c r="CI99" s="1"/>
  <c r="CK72"/>
  <c r="CK97" s="1"/>
  <c r="CM70"/>
  <c r="CM95" s="1"/>
  <c r="BO69"/>
  <c r="BO94" s="1"/>
  <c r="AR61"/>
  <c r="AR86" s="1"/>
  <c r="BR61"/>
  <c r="BR86" s="1"/>
  <c r="BR77"/>
  <c r="BR102" s="1"/>
  <c r="BP75"/>
  <c r="BP100" s="1"/>
  <c r="AX61"/>
  <c r="AX86" s="1"/>
  <c r="AH66"/>
  <c r="AH91" s="1"/>
  <c r="AH75"/>
  <c r="AH100" s="1"/>
  <c r="BJ62"/>
  <c r="BJ87" s="1"/>
  <c r="BN73"/>
  <c r="BN98" s="1"/>
  <c r="CB60"/>
  <c r="CB85" s="1"/>
  <c r="CH63"/>
  <c r="CH88" s="1"/>
  <c r="CJ61"/>
  <c r="CJ86" s="1"/>
  <c r="CJ77"/>
  <c r="CJ102" s="1"/>
  <c r="CL75"/>
  <c r="CL100" s="1"/>
  <c r="BX73"/>
  <c r="BX98" s="1"/>
  <c r="I77"/>
  <c r="I102" s="1"/>
  <c r="I61"/>
  <c r="I86" s="1"/>
  <c r="K75"/>
  <c r="K100" s="1"/>
  <c r="O73"/>
  <c r="O98" s="1"/>
  <c r="S71"/>
  <c r="S96" s="1"/>
  <c r="U69"/>
  <c r="U94" s="1"/>
  <c r="CO67"/>
  <c r="CO92" s="1"/>
  <c r="CQ65"/>
  <c r="CQ90" s="1"/>
  <c r="CS63"/>
  <c r="CS88" s="1"/>
  <c r="BQ61"/>
  <c r="BQ86" s="1"/>
  <c r="BQ77"/>
  <c r="BQ102" s="1"/>
  <c r="M63"/>
  <c r="M88" s="1"/>
  <c r="Q73"/>
  <c r="Q98" s="1"/>
  <c r="AG71"/>
  <c r="AG96" s="1"/>
  <c r="AM69"/>
  <c r="AM94" s="1"/>
  <c r="CG67"/>
  <c r="CG92" s="1"/>
  <c r="Y65"/>
  <c r="Y90" s="1"/>
  <c r="W75"/>
  <c r="W100" s="1"/>
  <c r="BE61"/>
  <c r="BE86" s="1"/>
  <c r="BE77"/>
  <c r="BE102" s="1"/>
  <c r="BM75"/>
  <c r="BM100" s="1"/>
  <c r="AA73"/>
  <c r="AA98" s="1"/>
  <c r="AC71"/>
  <c r="AC96" s="1"/>
  <c r="AE69"/>
  <c r="AE94" s="1"/>
  <c r="AI67"/>
  <c r="AI92" s="1"/>
  <c r="AK73"/>
  <c r="AK98" s="1"/>
  <c r="BU63"/>
  <c r="BU88" s="1"/>
  <c r="BW61"/>
  <c r="BW86" s="1"/>
  <c r="BW77"/>
  <c r="BW102" s="1"/>
  <c r="AU63"/>
  <c r="AU88" s="1"/>
  <c r="BS73"/>
  <c r="BS98" s="1"/>
  <c r="AO71"/>
  <c r="AO96" s="1"/>
  <c r="AQ69"/>
  <c r="AQ94" s="1"/>
  <c r="AS67"/>
  <c r="AS92" s="1"/>
  <c r="AW65"/>
  <c r="AW90" s="1"/>
  <c r="AY63"/>
  <c r="AY88" s="1"/>
  <c r="BA61"/>
  <c r="BA86" s="1"/>
  <c r="BA77"/>
  <c r="BA102" s="1"/>
  <c r="BC75"/>
  <c r="BC100" s="1"/>
  <c r="BG73"/>
  <c r="BG98" s="1"/>
  <c r="BI71"/>
  <c r="BI96" s="1"/>
  <c r="BK69"/>
  <c r="BK94" s="1"/>
  <c r="BO67"/>
  <c r="BO92" s="1"/>
  <c r="BY65"/>
  <c r="BY90" s="1"/>
  <c r="CA63"/>
  <c r="CA88" s="1"/>
  <c r="CC61"/>
  <c r="CC86" s="1"/>
  <c r="CC77"/>
  <c r="CC102" s="1"/>
  <c r="CE75"/>
  <c r="CE100" s="1"/>
  <c r="CI73"/>
  <c r="CI98" s="1"/>
  <c r="CK71"/>
  <c r="CK96" s="1"/>
  <c r="CM69"/>
  <c r="CM94" s="1"/>
  <c r="N73"/>
  <c r="N98" s="1"/>
  <c r="BT77"/>
  <c r="BT102" s="1"/>
  <c r="CN77"/>
  <c r="CN102" s="1"/>
  <c r="V66"/>
  <c r="V91" s="1"/>
  <c r="AN70"/>
  <c r="AN95" s="1"/>
  <c r="AP60"/>
  <c r="AP85" s="1"/>
  <c r="AT76"/>
  <c r="AT101" s="1"/>
  <c r="BR60"/>
  <c r="BR85" s="1"/>
  <c r="BR76"/>
  <c r="BR101" s="1"/>
  <c r="AV62"/>
  <c r="AV87" s="1"/>
  <c r="AZ70"/>
  <c r="AZ95" s="1"/>
  <c r="BH62"/>
  <c r="BH87" s="1"/>
  <c r="AH60"/>
  <c r="AH85" s="1"/>
  <c r="AH69"/>
  <c r="AH94" s="1"/>
  <c r="BJ75"/>
  <c r="BJ100" s="1"/>
  <c r="BN72"/>
  <c r="BN97" s="1"/>
  <c r="BV70"/>
  <c r="BV95" s="1"/>
  <c r="CB74"/>
  <c r="CB99" s="1"/>
  <c r="CD66"/>
  <c r="CD91" s="1"/>
  <c r="BZ64"/>
  <c r="BZ89" s="1"/>
  <c r="CH62"/>
  <c r="CH87" s="1"/>
  <c r="CJ60"/>
  <c r="CJ85" s="1"/>
  <c r="CJ76"/>
  <c r="CJ101" s="1"/>
  <c r="CL74"/>
  <c r="CL99" s="1"/>
  <c r="BX72"/>
  <c r="BX97" s="1"/>
  <c r="I60"/>
  <c r="I85" s="1"/>
  <c r="I62"/>
  <c r="I87" s="1"/>
  <c r="K74"/>
  <c r="K99" s="1"/>
  <c r="O72"/>
  <c r="O97" s="1"/>
  <c r="S70"/>
  <c r="S95" s="1"/>
  <c r="U68"/>
  <c r="U93" s="1"/>
  <c r="CO66"/>
  <c r="CO91" s="1"/>
  <c r="CQ64"/>
  <c r="CQ89" s="1"/>
  <c r="CS62"/>
  <c r="CS87" s="1"/>
  <c r="BQ60"/>
  <c r="BQ85" s="1"/>
  <c r="BQ76"/>
  <c r="BQ101" s="1"/>
  <c r="M64"/>
  <c r="M89" s="1"/>
  <c r="Q72"/>
  <c r="Q97" s="1"/>
  <c r="AG70"/>
  <c r="AG95" s="1"/>
  <c r="AM68"/>
  <c r="AM93" s="1"/>
  <c r="CG66"/>
  <c r="CG91" s="1"/>
  <c r="Y64"/>
  <c r="Y89" s="1"/>
  <c r="W76"/>
  <c r="W101" s="1"/>
  <c r="BE60"/>
  <c r="BE85" s="1"/>
  <c r="BE76"/>
  <c r="BE101" s="1"/>
  <c r="BM74"/>
  <c r="BM99" s="1"/>
  <c r="AA72"/>
  <c r="AA97" s="1"/>
  <c r="AC70"/>
  <c r="AC95" s="1"/>
  <c r="AE68"/>
  <c r="AE93" s="1"/>
  <c r="AI66"/>
  <c r="AI91" s="1"/>
  <c r="AK74"/>
  <c r="AK99" s="1"/>
  <c r="BU62"/>
  <c r="BU87" s="1"/>
  <c r="BW60"/>
  <c r="BW85" s="1"/>
  <c r="BW76"/>
  <c r="BW101" s="1"/>
  <c r="AU64"/>
  <c r="AU89" s="1"/>
  <c r="BS72"/>
  <c r="BS97" s="1"/>
  <c r="AO70"/>
  <c r="AO95" s="1"/>
  <c r="AQ68"/>
  <c r="AQ93" s="1"/>
  <c r="AS66"/>
  <c r="AS91" s="1"/>
  <c r="AW64"/>
  <c r="AW89" s="1"/>
  <c r="AY62"/>
  <c r="AY87" s="1"/>
  <c r="BA60"/>
  <c r="BA85" s="1"/>
  <c r="BA76"/>
  <c r="BA101" s="1"/>
  <c r="BC74"/>
  <c r="BC99" s="1"/>
  <c r="BG72"/>
  <c r="BG97" s="1"/>
  <c r="BI70"/>
  <c r="BI95" s="1"/>
  <c r="BK68"/>
  <c r="BK93" s="1"/>
  <c r="BO66"/>
  <c r="BO91" s="1"/>
  <c r="BY64"/>
  <c r="BY89" s="1"/>
  <c r="CA62"/>
  <c r="CA87" s="1"/>
  <c r="CC60"/>
  <c r="CC85" s="1"/>
  <c r="CC76"/>
  <c r="CC101" s="1"/>
  <c r="CE74"/>
  <c r="CE99" s="1"/>
  <c r="CI72"/>
  <c r="CI97" s="1"/>
  <c r="CK70"/>
  <c r="CK95" s="1"/>
  <c r="CM68"/>
  <c r="CM93" s="1"/>
  <c r="E60"/>
  <c r="E75"/>
  <c r="J74"/>
  <c r="J99" s="1"/>
  <c r="P61"/>
  <c r="P86" s="1"/>
  <c r="AF73"/>
  <c r="AF98" s="1"/>
  <c r="BT71"/>
  <c r="BT96" s="1"/>
  <c r="CN72"/>
  <c r="CN97" s="1"/>
  <c r="V72"/>
  <c r="V97" s="1"/>
  <c r="AB66"/>
  <c r="AB91" s="1"/>
  <c r="AN65"/>
  <c r="AN90" s="1"/>
  <c r="AP77"/>
  <c r="AP102" s="1"/>
  <c r="AR73"/>
  <c r="AR98" s="1"/>
  <c r="AT77"/>
  <c r="AT102" s="1"/>
  <c r="AT61"/>
  <c r="AT86" s="1"/>
  <c r="BR75"/>
  <c r="BR100" s="1"/>
  <c r="BP73"/>
  <c r="BP98" s="1"/>
  <c r="AV73"/>
  <c r="AV98" s="1"/>
  <c r="BB70"/>
  <c r="BB95" s="1"/>
  <c r="BB66"/>
  <c r="BB91" s="1"/>
  <c r="AX74"/>
  <c r="AX99" s="1"/>
  <c r="BF63"/>
  <c r="BF88" s="1"/>
  <c r="BH61"/>
  <c r="BH86" s="1"/>
  <c r="BH77"/>
  <c r="BH102" s="1"/>
  <c r="AH63"/>
  <c r="AH88" s="1"/>
  <c r="BJ69"/>
  <c r="BJ94" s="1"/>
  <c r="BN71"/>
  <c r="BN96" s="1"/>
  <c r="BV69"/>
  <c r="BV94" s="1"/>
  <c r="CB77"/>
  <c r="CB102" s="1"/>
  <c r="CD65"/>
  <c r="CD90" s="1"/>
  <c r="BZ63"/>
  <c r="BZ88" s="1"/>
  <c r="CH61"/>
  <c r="CH86" s="1"/>
  <c r="CH77"/>
  <c r="CH102" s="1"/>
  <c r="CJ75"/>
  <c r="CJ100" s="1"/>
  <c r="CL73"/>
  <c r="CL98" s="1"/>
  <c r="BX71"/>
  <c r="BX96" s="1"/>
  <c r="I63"/>
  <c r="I88" s="1"/>
  <c r="K73"/>
  <c r="K98" s="1"/>
  <c r="O71"/>
  <c r="O96" s="1"/>
  <c r="S69"/>
  <c r="S94" s="1"/>
  <c r="U67"/>
  <c r="U92" s="1"/>
  <c r="CO65"/>
  <c r="CO90" s="1"/>
  <c r="CQ63"/>
  <c r="CQ88" s="1"/>
  <c r="CS61"/>
  <c r="CS86" s="1"/>
  <c r="CS77"/>
  <c r="CS102" s="1"/>
  <c r="BQ75"/>
  <c r="BQ100" s="1"/>
  <c r="M65"/>
  <c r="M90" s="1"/>
  <c r="Q71"/>
  <c r="Q96" s="1"/>
  <c r="AG69"/>
  <c r="AG94" s="1"/>
  <c r="AM67"/>
  <c r="AM92" s="1"/>
  <c r="CG65"/>
  <c r="CG90" s="1"/>
  <c r="Y63"/>
  <c r="Y88" s="1"/>
  <c r="W77"/>
  <c r="W102" s="1"/>
  <c r="W61"/>
  <c r="W86" s="1"/>
  <c r="BE75"/>
  <c r="BE100" s="1"/>
  <c r="BM73"/>
  <c r="BM98" s="1"/>
  <c r="AA71"/>
  <c r="AA96" s="1"/>
  <c r="AC69"/>
  <c r="AC94" s="1"/>
  <c r="AE67"/>
  <c r="AE92" s="1"/>
  <c r="AI65"/>
  <c r="AI90" s="1"/>
  <c r="AK75"/>
  <c r="AK100" s="1"/>
  <c r="BU61"/>
  <c r="BU86" s="1"/>
  <c r="BU77"/>
  <c r="BU102" s="1"/>
  <c r="BW75"/>
  <c r="BW100" s="1"/>
  <c r="AU65"/>
  <c r="AU90" s="1"/>
  <c r="BS71"/>
  <c r="BS96" s="1"/>
  <c r="AO69"/>
  <c r="AO94" s="1"/>
  <c r="AQ67"/>
  <c r="AQ92" s="1"/>
  <c r="AS65"/>
  <c r="AS90" s="1"/>
  <c r="AW63"/>
  <c r="AW88" s="1"/>
  <c r="AY61"/>
  <c r="AY86" s="1"/>
  <c r="AY77"/>
  <c r="AY102" s="1"/>
  <c r="BA75"/>
  <c r="BA100" s="1"/>
  <c r="BC73"/>
  <c r="BC98" s="1"/>
  <c r="BG71"/>
  <c r="BG96" s="1"/>
  <c r="BI69"/>
  <c r="BI94" s="1"/>
  <c r="BK67"/>
  <c r="BK92" s="1"/>
  <c r="BO65"/>
  <c r="BO90" s="1"/>
  <c r="BY63"/>
  <c r="BY88" s="1"/>
  <c r="CA61"/>
  <c r="CA86" s="1"/>
  <c r="CA77"/>
  <c r="CA102" s="1"/>
  <c r="CC75"/>
  <c r="CC100" s="1"/>
  <c r="CE73"/>
  <c r="CE98" s="1"/>
  <c r="CI71"/>
  <c r="CI96" s="1"/>
  <c r="CK69"/>
  <c r="CK94" s="1"/>
  <c r="CM67"/>
  <c r="CM92" s="1"/>
  <c r="AP76"/>
  <c r="AP101" s="1"/>
  <c r="AT60"/>
  <c r="AT85" s="1"/>
  <c r="AT62"/>
  <c r="AT87" s="1"/>
  <c r="BB60"/>
  <c r="BB85" s="1"/>
  <c r="BF62"/>
  <c r="BF87" s="1"/>
  <c r="BH60"/>
  <c r="BH85" s="1"/>
  <c r="BH76"/>
  <c r="BH101" s="1"/>
  <c r="BJ63"/>
  <c r="BJ88" s="1"/>
  <c r="BN70"/>
  <c r="BN95" s="1"/>
  <c r="CB76"/>
  <c r="CB101" s="1"/>
  <c r="BZ62"/>
  <c r="BZ87" s="1"/>
  <c r="CH60"/>
  <c r="CH85" s="1"/>
  <c r="CH76"/>
  <c r="CH101" s="1"/>
  <c r="BX70"/>
  <c r="BX95" s="1"/>
  <c r="I64"/>
  <c r="I89" s="1"/>
  <c r="K72"/>
  <c r="K97" s="1"/>
  <c r="O70"/>
  <c r="O95" s="1"/>
  <c r="S68"/>
  <c r="S93" s="1"/>
  <c r="U66"/>
  <c r="U91" s="1"/>
  <c r="CO64"/>
  <c r="CO89" s="1"/>
  <c r="CQ62"/>
  <c r="CQ87" s="1"/>
  <c r="CS60"/>
  <c r="CS85" s="1"/>
  <c r="CS76"/>
  <c r="CS101" s="1"/>
  <c r="BQ74"/>
  <c r="BQ99" s="1"/>
  <c r="M66"/>
  <c r="M91" s="1"/>
  <c r="Q70"/>
  <c r="Q95" s="1"/>
  <c r="AG68"/>
  <c r="AG93" s="1"/>
  <c r="AM66"/>
  <c r="AM91" s="1"/>
  <c r="CG64"/>
  <c r="CG89" s="1"/>
  <c r="Y62"/>
  <c r="Y87" s="1"/>
  <c r="W60"/>
  <c r="W85" s="1"/>
  <c r="W62"/>
  <c r="W87" s="1"/>
  <c r="BE74"/>
  <c r="BE99" s="1"/>
  <c r="BM72"/>
  <c r="BM97" s="1"/>
  <c r="AA70"/>
  <c r="AA95" s="1"/>
  <c r="AC68"/>
  <c r="AC93" s="1"/>
  <c r="AE66"/>
  <c r="AE91" s="1"/>
  <c r="AI64"/>
  <c r="AI89" s="1"/>
  <c r="AK76"/>
  <c r="AK101" s="1"/>
  <c r="BU60"/>
  <c r="BU85" s="1"/>
  <c r="BU76"/>
  <c r="BU101" s="1"/>
  <c r="BW74"/>
  <c r="BW99" s="1"/>
  <c r="AU66"/>
  <c r="AU91" s="1"/>
  <c r="BS70"/>
  <c r="BS95" s="1"/>
  <c r="AO68"/>
  <c r="AO93" s="1"/>
  <c r="AQ66"/>
  <c r="AQ91" s="1"/>
  <c r="AS64"/>
  <c r="AS89" s="1"/>
  <c r="AW62"/>
  <c r="AW87" s="1"/>
  <c r="AY60"/>
  <c r="AY85" s="1"/>
  <c r="AY76"/>
  <c r="AY101" s="1"/>
  <c r="BA74"/>
  <c r="BA99" s="1"/>
  <c r="BC72"/>
  <c r="BC97" s="1"/>
  <c r="BG70"/>
  <c r="BG95" s="1"/>
  <c r="BI68"/>
  <c r="BI93" s="1"/>
  <c r="BK66"/>
  <c r="BK91" s="1"/>
  <c r="BO64"/>
  <c r="BO89" s="1"/>
  <c r="BY62"/>
  <c r="BY87" s="1"/>
  <c r="CA60"/>
  <c r="CA85" s="1"/>
  <c r="CA76"/>
  <c r="CA101" s="1"/>
  <c r="CE72"/>
  <c r="CE97" s="1"/>
  <c r="CI70"/>
  <c r="CI95" s="1"/>
  <c r="CK68"/>
  <c r="CK93" s="1"/>
  <c r="CM66"/>
  <c r="CM91" s="1"/>
  <c r="BP77"/>
  <c r="BP102" s="1"/>
  <c r="E74"/>
  <c r="J75"/>
  <c r="J100" s="1"/>
  <c r="L72"/>
  <c r="L97" s="1"/>
  <c r="AF64"/>
  <c r="AF89" s="1"/>
  <c r="BT64"/>
  <c r="BT89" s="1"/>
  <c r="CN64"/>
  <c r="CN89" s="1"/>
  <c r="Z65"/>
  <c r="Z90" s="1"/>
  <c r="AJ72"/>
  <c r="AJ97" s="1"/>
  <c r="AN75"/>
  <c r="AN100" s="1"/>
  <c r="AP71"/>
  <c r="AP96" s="1"/>
  <c r="AR66"/>
  <c r="AR91" s="1"/>
  <c r="AR74"/>
  <c r="AR99" s="1"/>
  <c r="AT63"/>
  <c r="AT88" s="1"/>
  <c r="BR73"/>
  <c r="BR98" s="1"/>
  <c r="BP71"/>
  <c r="BP96" s="1"/>
  <c r="AV61"/>
  <c r="AV86" s="1"/>
  <c r="AZ71"/>
  <c r="AZ96" s="1"/>
  <c r="AZ74"/>
  <c r="AZ99" s="1"/>
  <c r="AX68"/>
  <c r="AX93" s="1"/>
  <c r="BF61"/>
  <c r="BF86" s="1"/>
  <c r="BF77"/>
  <c r="BF102" s="1"/>
  <c r="BH75"/>
  <c r="BH100" s="1"/>
  <c r="AH68"/>
  <c r="AH93" s="1"/>
  <c r="BJ73"/>
  <c r="BJ98" s="1"/>
  <c r="BN69"/>
  <c r="BN94" s="1"/>
  <c r="BV67"/>
  <c r="BV92" s="1"/>
  <c r="CB71"/>
  <c r="CB96" s="1"/>
  <c r="CD63"/>
  <c r="CD88" s="1"/>
  <c r="BZ61"/>
  <c r="BZ86" s="1"/>
  <c r="BZ77"/>
  <c r="BZ102" s="1"/>
  <c r="CH75"/>
  <c r="CH100" s="1"/>
  <c r="CJ73"/>
  <c r="CJ98" s="1"/>
  <c r="CL71"/>
  <c r="CL96" s="1"/>
  <c r="BX69"/>
  <c r="BX94" s="1"/>
  <c r="I65"/>
  <c r="I90" s="1"/>
  <c r="K71"/>
  <c r="K96" s="1"/>
  <c r="O69"/>
  <c r="O94" s="1"/>
  <c r="S67"/>
  <c r="S92" s="1"/>
  <c r="U65"/>
  <c r="U90" s="1"/>
  <c r="CO63"/>
  <c r="CO88" s="1"/>
  <c r="CQ61"/>
  <c r="CQ86" s="1"/>
  <c r="CQ77"/>
  <c r="CQ102" s="1"/>
  <c r="CS75"/>
  <c r="CS100" s="1"/>
  <c r="BQ73"/>
  <c r="BQ98" s="1"/>
  <c r="M67"/>
  <c r="M92" s="1"/>
  <c r="Q69"/>
  <c r="Q94" s="1"/>
  <c r="AG67"/>
  <c r="AG92" s="1"/>
  <c r="AM65"/>
  <c r="AM90" s="1"/>
  <c r="CG63"/>
  <c r="CG88" s="1"/>
  <c r="Y61"/>
  <c r="Y86" s="1"/>
  <c r="Y77"/>
  <c r="Y102" s="1"/>
  <c r="W63"/>
  <c r="W88" s="1"/>
  <c r="BE73"/>
  <c r="BE98" s="1"/>
  <c r="BM71"/>
  <c r="BM96" s="1"/>
  <c r="AA69"/>
  <c r="AA94" s="1"/>
  <c r="AC67"/>
  <c r="AC92" s="1"/>
  <c r="AE65"/>
  <c r="AE90" s="1"/>
  <c r="AI63"/>
  <c r="AI88" s="1"/>
  <c r="AK77"/>
  <c r="AK102" s="1"/>
  <c r="AK61"/>
  <c r="AK86" s="1"/>
  <c r="BU75"/>
  <c r="BU100" s="1"/>
  <c r="BW73"/>
  <c r="BW98" s="1"/>
  <c r="AU67"/>
  <c r="AU92" s="1"/>
  <c r="BS69"/>
  <c r="BS94" s="1"/>
  <c r="AO67"/>
  <c r="AO92" s="1"/>
  <c r="AQ65"/>
  <c r="AQ90" s="1"/>
  <c r="AS63"/>
  <c r="AS88" s="1"/>
  <c r="AW61"/>
  <c r="AW86" s="1"/>
  <c r="AW77"/>
  <c r="AW102" s="1"/>
  <c r="AY75"/>
  <c r="AY100" s="1"/>
  <c r="BA73"/>
  <c r="BA98" s="1"/>
  <c r="BC71"/>
  <c r="BC96" s="1"/>
  <c r="BG69"/>
  <c r="BG94" s="1"/>
  <c r="BI67"/>
  <c r="BI92" s="1"/>
  <c r="BK65"/>
  <c r="BK90" s="1"/>
  <c r="BO63"/>
  <c r="BO88" s="1"/>
  <c r="BY61"/>
  <c r="BY86" s="1"/>
  <c r="BY77"/>
  <c r="BY102" s="1"/>
  <c r="CA75"/>
  <c r="CA100" s="1"/>
  <c r="CC73"/>
  <c r="CC98" s="1"/>
  <c r="CE71"/>
  <c r="CE96" s="1"/>
  <c r="CI69"/>
  <c r="CI94" s="1"/>
  <c r="CK67"/>
  <c r="CK92" s="1"/>
  <c r="CM65"/>
  <c r="CM90" s="1"/>
  <c r="J77"/>
  <c r="J102" s="1"/>
  <c r="L73"/>
  <c r="L98" s="1"/>
  <c r="AF61"/>
  <c r="AF86" s="1"/>
  <c r="CF73"/>
  <c r="CF98" s="1"/>
  <c r="T77"/>
  <c r="T102" s="1"/>
  <c r="Z66"/>
  <c r="Z91" s="1"/>
  <c r="AJ73"/>
  <c r="AJ98" s="1"/>
  <c r="AN69"/>
  <c r="AN94" s="1"/>
  <c r="AP70"/>
  <c r="AP95" s="1"/>
  <c r="AR60"/>
  <c r="AR85" s="1"/>
  <c r="AR68"/>
  <c r="AR93" s="1"/>
  <c r="AT64"/>
  <c r="AT89" s="1"/>
  <c r="BR72"/>
  <c r="BR97" s="1"/>
  <c r="BP70"/>
  <c r="BP95" s="1"/>
  <c r="AV77"/>
  <c r="AV102" s="1"/>
  <c r="BB71"/>
  <c r="BB96" s="1"/>
  <c r="AZ68"/>
  <c r="AZ93" s="1"/>
  <c r="AX66"/>
  <c r="AX91" s="1"/>
  <c r="BF60"/>
  <c r="BF85" s="1"/>
  <c r="BF76"/>
  <c r="BF101" s="1"/>
  <c r="BH74"/>
  <c r="BH99" s="1"/>
  <c r="AH62"/>
  <c r="AH87" s="1"/>
  <c r="BJ72"/>
  <c r="BJ97" s="1"/>
  <c r="BN68"/>
  <c r="BN93" s="1"/>
  <c r="BV66"/>
  <c r="BV91" s="1"/>
  <c r="CB70"/>
  <c r="CB95" s="1"/>
  <c r="CD62"/>
  <c r="CD87" s="1"/>
  <c r="BZ60"/>
  <c r="BZ85" s="1"/>
  <c r="BZ76"/>
  <c r="BZ101" s="1"/>
  <c r="CH74"/>
  <c r="CH99" s="1"/>
  <c r="CJ72"/>
  <c r="CJ97" s="1"/>
  <c r="CL70"/>
  <c r="CL95" s="1"/>
  <c r="BX68"/>
  <c r="BX93" s="1"/>
  <c r="I66"/>
  <c r="I91" s="1"/>
  <c r="K70"/>
  <c r="K95" s="1"/>
  <c r="O68"/>
  <c r="O93" s="1"/>
  <c r="S66"/>
  <c r="S91" s="1"/>
  <c r="U64"/>
  <c r="U89" s="1"/>
  <c r="CO62"/>
  <c r="CO87" s="1"/>
  <c r="CQ60"/>
  <c r="CQ85" s="1"/>
  <c r="CQ76"/>
  <c r="CQ101" s="1"/>
  <c r="CS74"/>
  <c r="CS99" s="1"/>
  <c r="BQ72"/>
  <c r="BQ97" s="1"/>
  <c r="M68"/>
  <c r="M93" s="1"/>
  <c r="Q68"/>
  <c r="Q93" s="1"/>
  <c r="AG66"/>
  <c r="AG91" s="1"/>
  <c r="AM64"/>
  <c r="AM89" s="1"/>
  <c r="CG62"/>
  <c r="CG87" s="1"/>
  <c r="Y60"/>
  <c r="Y85" s="1"/>
  <c r="Y76"/>
  <c r="Y101" s="1"/>
  <c r="W64"/>
  <c r="W89" s="1"/>
  <c r="BE72"/>
  <c r="BE97" s="1"/>
  <c r="BM70"/>
  <c r="BM95" s="1"/>
  <c r="AA68"/>
  <c r="AA93" s="1"/>
  <c r="AC66"/>
  <c r="AC91" s="1"/>
  <c r="AE64"/>
  <c r="AE89" s="1"/>
  <c r="AI62"/>
  <c r="AI87" s="1"/>
  <c r="AK60"/>
  <c r="AK85" s="1"/>
  <c r="AK62"/>
  <c r="AK87" s="1"/>
  <c r="BU74"/>
  <c r="BU99" s="1"/>
  <c r="BW72"/>
  <c r="BW97" s="1"/>
  <c r="AU68"/>
  <c r="AU93" s="1"/>
  <c r="BS68"/>
  <c r="BS93" s="1"/>
  <c r="AO66"/>
  <c r="AO91" s="1"/>
  <c r="AQ64"/>
  <c r="AQ89" s="1"/>
  <c r="AS62"/>
  <c r="AS87" s="1"/>
  <c r="AW60"/>
  <c r="AW85" s="1"/>
  <c r="AW76"/>
  <c r="AW101" s="1"/>
  <c r="AY74"/>
  <c r="AY99" s="1"/>
  <c r="BA72"/>
  <c r="BA97" s="1"/>
  <c r="BC70"/>
  <c r="BC95" s="1"/>
  <c r="BG68"/>
  <c r="BG93" s="1"/>
  <c r="BI66"/>
  <c r="BI91" s="1"/>
  <c r="BK64"/>
  <c r="BK89" s="1"/>
  <c r="BO62"/>
  <c r="BO87" s="1"/>
  <c r="BY60"/>
  <c r="BY85" s="1"/>
  <c r="BY76"/>
  <c r="BY101" s="1"/>
  <c r="CA74"/>
  <c r="CA99" s="1"/>
  <c r="CC72"/>
  <c r="CC97" s="1"/>
  <c r="CE70"/>
  <c r="CE95" s="1"/>
  <c r="CI68"/>
  <c r="CI93" s="1"/>
  <c r="CK66"/>
  <c r="CK91" s="1"/>
  <c r="CM64"/>
  <c r="CM89" s="1"/>
  <c r="AF60"/>
  <c r="AF85" s="1"/>
  <c r="AN63"/>
  <c r="AN88" s="1"/>
  <c r="AP75"/>
  <c r="AP100" s="1"/>
  <c r="AR62"/>
  <c r="AR87" s="1"/>
  <c r="AT65"/>
  <c r="AT90" s="1"/>
  <c r="BR71"/>
  <c r="BR96" s="1"/>
  <c r="BP69"/>
  <c r="BP94" s="1"/>
  <c r="AV76"/>
  <c r="AV101" s="1"/>
  <c r="AX76"/>
  <c r="AX101" s="1"/>
  <c r="AZ62"/>
  <c r="AZ87" s="1"/>
  <c r="AX62"/>
  <c r="AX87" s="1"/>
  <c r="BB75"/>
  <c r="BB100" s="1"/>
  <c r="BF75"/>
  <c r="BF100" s="1"/>
  <c r="BH73"/>
  <c r="BH98" s="1"/>
  <c r="AH61"/>
  <c r="AH86" s="1"/>
  <c r="BJ67"/>
  <c r="BJ92" s="1"/>
  <c r="BN67"/>
  <c r="BN92" s="1"/>
  <c r="BV65"/>
  <c r="BV90" s="1"/>
  <c r="CB68"/>
  <c r="CB93" s="1"/>
  <c r="CD61"/>
  <c r="CD86" s="1"/>
  <c r="CD77"/>
  <c r="CD102" s="1"/>
  <c r="BZ75"/>
  <c r="BZ100" s="1"/>
  <c r="CH73"/>
  <c r="CH98" s="1"/>
  <c r="CJ71"/>
  <c r="CJ96" s="1"/>
  <c r="CL69"/>
  <c r="CL94" s="1"/>
  <c r="BX67"/>
  <c r="BX92" s="1"/>
  <c r="I67"/>
  <c r="I92" s="1"/>
  <c r="K69"/>
  <c r="K94" s="1"/>
  <c r="O67"/>
  <c r="O92" s="1"/>
  <c r="S65"/>
  <c r="S90" s="1"/>
  <c r="U63"/>
  <c r="U88" s="1"/>
  <c r="CO61"/>
  <c r="CO86" s="1"/>
  <c r="CO77"/>
  <c r="CO102" s="1"/>
  <c r="CQ75"/>
  <c r="CQ100" s="1"/>
  <c r="CS73"/>
  <c r="CS98" s="1"/>
  <c r="BQ71"/>
  <c r="BQ96" s="1"/>
  <c r="M69"/>
  <c r="M94" s="1"/>
  <c r="Q67"/>
  <c r="Q92" s="1"/>
  <c r="AG65"/>
  <c r="AG90" s="1"/>
  <c r="AM63"/>
  <c r="AM88" s="1"/>
  <c r="CG61"/>
  <c r="CG86" s="1"/>
  <c r="CG77"/>
  <c r="CG102" s="1"/>
  <c r="Y75"/>
  <c r="Y100" s="1"/>
  <c r="W65"/>
  <c r="W90" s="1"/>
  <c r="BE71"/>
  <c r="BE96" s="1"/>
  <c r="BM69"/>
  <c r="BM94" s="1"/>
  <c r="AA67"/>
  <c r="AA92" s="1"/>
  <c r="AC65"/>
  <c r="AC90" s="1"/>
  <c r="AE63"/>
  <c r="AE88" s="1"/>
  <c r="AI61"/>
  <c r="AI86" s="1"/>
  <c r="AI77"/>
  <c r="AI102" s="1"/>
  <c r="AK63"/>
  <c r="AK88" s="1"/>
  <c r="BU73"/>
  <c r="BU98" s="1"/>
  <c r="BW71"/>
  <c r="BW96" s="1"/>
  <c r="AU69"/>
  <c r="AU94" s="1"/>
  <c r="BS67"/>
  <c r="BS92" s="1"/>
  <c r="AO65"/>
  <c r="AO90" s="1"/>
  <c r="AQ63"/>
  <c r="AQ88" s="1"/>
  <c r="AS61"/>
  <c r="AS86" s="1"/>
  <c r="AS77"/>
  <c r="AS102" s="1"/>
  <c r="AW75"/>
  <c r="AW100" s="1"/>
  <c r="AY73"/>
  <c r="AY98" s="1"/>
  <c r="BA71"/>
  <c r="BA96" s="1"/>
  <c r="BC69"/>
  <c r="BC94" s="1"/>
  <c r="BG67"/>
  <c r="BG92" s="1"/>
  <c r="BI65"/>
  <c r="BI90" s="1"/>
  <c r="BK63"/>
  <c r="BK88" s="1"/>
  <c r="BO61"/>
  <c r="BO86" s="1"/>
  <c r="BO77"/>
  <c r="BO102" s="1"/>
  <c r="BY75"/>
  <c r="BY100" s="1"/>
  <c r="CA73"/>
  <c r="CA98" s="1"/>
  <c r="CC71"/>
  <c r="CC96" s="1"/>
  <c r="CE69"/>
  <c r="CE94" s="1"/>
  <c r="CI67"/>
  <c r="CI92" s="1"/>
  <c r="CK65"/>
  <c r="CK90" s="1"/>
  <c r="CM63"/>
  <c r="CM88" s="1"/>
  <c r="CO69"/>
  <c r="CO94" s="1"/>
  <c r="H66"/>
  <c r="H91" s="1"/>
  <c r="L75"/>
  <c r="L100" s="1"/>
  <c r="X77"/>
  <c r="X102" s="1"/>
  <c r="T66"/>
  <c r="T91" s="1"/>
  <c r="CR77"/>
  <c r="CR102" s="1"/>
  <c r="AJ75"/>
  <c r="AJ100" s="1"/>
  <c r="AP69"/>
  <c r="AP94" s="1"/>
  <c r="AR77"/>
  <c r="AR102" s="1"/>
  <c r="AT66"/>
  <c r="AT91" s="1"/>
  <c r="BR70"/>
  <c r="BR95" s="1"/>
  <c r="BP68"/>
  <c r="BP93" s="1"/>
  <c r="AV72"/>
  <c r="AV97" s="1"/>
  <c r="AZ76"/>
  <c r="AZ101" s="1"/>
  <c r="AX75"/>
  <c r="AX100" s="1"/>
  <c r="AX60"/>
  <c r="AX85" s="1"/>
  <c r="BB73"/>
  <c r="BB98" s="1"/>
  <c r="BF74"/>
  <c r="BF99" s="1"/>
  <c r="BH72"/>
  <c r="BH97" s="1"/>
  <c r="AH67"/>
  <c r="AH92" s="1"/>
  <c r="BJ66"/>
  <c r="BJ91" s="1"/>
  <c r="BN66"/>
  <c r="BN91" s="1"/>
  <c r="BV64"/>
  <c r="BV89" s="1"/>
  <c r="CB65"/>
  <c r="CB90" s="1"/>
  <c r="CD60"/>
  <c r="CD85" s="1"/>
  <c r="CD76"/>
  <c r="CD101" s="1"/>
  <c r="BZ74"/>
  <c r="BZ99" s="1"/>
  <c r="CH72"/>
  <c r="CH97" s="1"/>
  <c r="CJ70"/>
  <c r="CJ95" s="1"/>
  <c r="CL68"/>
  <c r="CL93" s="1"/>
  <c r="BX66"/>
  <c r="BX91" s="1"/>
  <c r="I68"/>
  <c r="I93" s="1"/>
  <c r="K68"/>
  <c r="K93" s="1"/>
  <c r="O66"/>
  <c r="O91" s="1"/>
  <c r="S64"/>
  <c r="S89" s="1"/>
  <c r="U62"/>
  <c r="U87" s="1"/>
  <c r="CO60"/>
  <c r="CO85" s="1"/>
  <c r="CO76"/>
  <c r="CO101" s="1"/>
  <c r="CQ74"/>
  <c r="CQ99" s="1"/>
  <c r="CS72"/>
  <c r="CS97" s="1"/>
  <c r="BQ70"/>
  <c r="BQ95" s="1"/>
  <c r="M70"/>
  <c r="M95" s="1"/>
  <c r="Q66"/>
  <c r="Q91" s="1"/>
  <c r="AG64"/>
  <c r="AG89" s="1"/>
  <c r="AM62"/>
  <c r="AM87" s="1"/>
  <c r="CG60"/>
  <c r="CG85" s="1"/>
  <c r="CG76"/>
  <c r="CG101" s="1"/>
  <c r="Y74"/>
  <c r="Y99" s="1"/>
  <c r="W66"/>
  <c r="W91" s="1"/>
  <c r="BE70"/>
  <c r="BE95" s="1"/>
  <c r="BM68"/>
  <c r="BM93" s="1"/>
  <c r="AA66"/>
  <c r="AA91" s="1"/>
  <c r="AC64"/>
  <c r="AC89" s="1"/>
  <c r="AE62"/>
  <c r="AE87" s="1"/>
  <c r="AI60"/>
  <c r="AI85" s="1"/>
  <c r="AI76"/>
  <c r="AI101" s="1"/>
  <c r="AK64"/>
  <c r="AK89" s="1"/>
  <c r="BU72"/>
  <c r="BU97" s="1"/>
  <c r="BW70"/>
  <c r="BW95" s="1"/>
  <c r="AU70"/>
  <c r="AU95" s="1"/>
  <c r="BS66"/>
  <c r="BS91" s="1"/>
  <c r="AO64"/>
  <c r="AO89" s="1"/>
  <c r="AQ62"/>
  <c r="AQ87" s="1"/>
  <c r="AS60"/>
  <c r="AS85" s="1"/>
  <c r="AS76"/>
  <c r="AS101" s="1"/>
  <c r="AW74"/>
  <c r="AW99" s="1"/>
  <c r="AY72"/>
  <c r="AY97" s="1"/>
  <c r="BA70"/>
  <c r="BA95" s="1"/>
  <c r="BC68"/>
  <c r="BC93" s="1"/>
  <c r="BG66"/>
  <c r="BG91" s="1"/>
  <c r="BI64"/>
  <c r="BI89" s="1"/>
  <c r="BK62"/>
  <c r="BK87" s="1"/>
  <c r="BO60"/>
  <c r="BO85" s="1"/>
  <c r="BO76"/>
  <c r="BO101" s="1"/>
  <c r="BY74"/>
  <c r="BY99" s="1"/>
  <c r="CA72"/>
  <c r="CA97" s="1"/>
  <c r="CC70"/>
  <c r="CC95" s="1"/>
  <c r="CE68"/>
  <c r="CE93" s="1"/>
  <c r="CI66"/>
  <c r="CI91" s="1"/>
  <c r="CK64"/>
  <c r="CK89" s="1"/>
  <c r="CM62"/>
  <c r="CM87" s="1"/>
  <c r="H67"/>
  <c r="H92" s="1"/>
  <c r="L77"/>
  <c r="L102" s="1"/>
  <c r="X75"/>
  <c r="X100" s="1"/>
  <c r="CF64"/>
  <c r="CF89" s="1"/>
  <c r="T65"/>
  <c r="T90" s="1"/>
  <c r="CR75"/>
  <c r="CR100" s="1"/>
  <c r="AJ77"/>
  <c r="AJ102" s="1"/>
  <c r="AN66"/>
  <c r="AN91" s="1"/>
  <c r="AN74"/>
  <c r="AN99" s="1"/>
  <c r="AP63"/>
  <c r="AP88" s="1"/>
  <c r="AR76"/>
  <c r="AR101" s="1"/>
  <c r="AT67"/>
  <c r="AT92" s="1"/>
  <c r="BR69"/>
  <c r="BR94" s="1"/>
  <c r="BP67"/>
  <c r="BP92" s="1"/>
  <c r="AV71"/>
  <c r="AV96" s="1"/>
  <c r="BB76"/>
  <c r="BB101" s="1"/>
  <c r="AX69"/>
  <c r="AX94" s="1"/>
  <c r="BB74"/>
  <c r="BB99" s="1"/>
  <c r="BB69"/>
  <c r="BB94" s="1"/>
  <c r="BF73"/>
  <c r="BF98" s="1"/>
  <c r="BH71"/>
  <c r="BH96" s="1"/>
  <c r="AH73"/>
  <c r="AH98" s="1"/>
  <c r="BJ61"/>
  <c r="BJ86" s="1"/>
  <c r="BN65"/>
  <c r="BN90" s="1"/>
  <c r="BV63"/>
  <c r="BV88" s="1"/>
  <c r="CB64"/>
  <c r="CB89" s="1"/>
  <c r="CB75"/>
  <c r="CB100" s="1"/>
  <c r="CD75"/>
  <c r="CD100" s="1"/>
  <c r="BZ73"/>
  <c r="BZ98" s="1"/>
  <c r="CH71"/>
  <c r="CH96" s="1"/>
  <c r="CJ69"/>
  <c r="CJ94" s="1"/>
  <c r="CL67"/>
  <c r="CL92" s="1"/>
  <c r="BX65"/>
  <c r="BX90" s="1"/>
  <c r="I69"/>
  <c r="I94" s="1"/>
  <c r="K67"/>
  <c r="K92" s="1"/>
  <c r="O65"/>
  <c r="O90" s="1"/>
  <c r="S63"/>
  <c r="S88" s="1"/>
  <c r="U61"/>
  <c r="U86" s="1"/>
  <c r="U77"/>
  <c r="U102" s="1"/>
  <c r="CO75"/>
  <c r="CO100" s="1"/>
  <c r="CQ73"/>
  <c r="CQ98" s="1"/>
  <c r="CS71"/>
  <c r="CS96" s="1"/>
  <c r="BQ69"/>
  <c r="BQ94" s="1"/>
  <c r="M71"/>
  <c r="M96" s="1"/>
  <c r="Q65"/>
  <c r="Q90" s="1"/>
  <c r="AG63"/>
  <c r="AG88" s="1"/>
  <c r="AM61"/>
  <c r="AM86" s="1"/>
  <c r="AM77"/>
  <c r="AM102" s="1"/>
  <c r="CG75"/>
  <c r="CG100" s="1"/>
  <c r="Y73"/>
  <c r="Y98" s="1"/>
  <c r="W67"/>
  <c r="W92" s="1"/>
  <c r="BE69"/>
  <c r="BE94" s="1"/>
  <c r="BM67"/>
  <c r="BM92" s="1"/>
  <c r="AA65"/>
  <c r="AA90" s="1"/>
  <c r="AC63"/>
  <c r="AC88" s="1"/>
  <c r="AE61"/>
  <c r="AE86" s="1"/>
  <c r="AE77"/>
  <c r="AE102" s="1"/>
  <c r="AI75"/>
  <c r="AI100" s="1"/>
  <c r="AK65"/>
  <c r="AK90" s="1"/>
  <c r="BU71"/>
  <c r="BU96" s="1"/>
  <c r="BW69"/>
  <c r="BW94" s="1"/>
  <c r="AU71"/>
  <c r="AU96" s="1"/>
  <c r="BS65"/>
  <c r="BS90" s="1"/>
  <c r="AO63"/>
  <c r="AO88" s="1"/>
  <c r="AQ61"/>
  <c r="AQ86" s="1"/>
  <c r="AQ77"/>
  <c r="AQ102" s="1"/>
  <c r="AS75"/>
  <c r="AS100" s="1"/>
  <c r="AW73"/>
  <c r="AW98" s="1"/>
  <c r="AY71"/>
  <c r="AY96" s="1"/>
  <c r="BA69"/>
  <c r="BA94" s="1"/>
  <c r="BC67"/>
  <c r="BC92" s="1"/>
  <c r="BG65"/>
  <c r="BG90" s="1"/>
  <c r="BI63"/>
  <c r="BI88" s="1"/>
  <c r="BK61"/>
  <c r="BK86" s="1"/>
  <c r="BK77"/>
  <c r="BK102" s="1"/>
  <c r="BO75"/>
  <c r="BO100" s="1"/>
  <c r="BY73"/>
  <c r="BY98" s="1"/>
  <c r="CA71"/>
  <c r="CA96" s="1"/>
  <c r="CC69"/>
  <c r="CC94" s="1"/>
  <c r="CE67"/>
  <c r="CE92" s="1"/>
  <c r="CI65"/>
  <c r="CI90" s="1"/>
  <c r="CK63"/>
  <c r="CK88" s="1"/>
  <c r="CM61"/>
  <c r="CM86" s="1"/>
  <c r="CM77"/>
  <c r="CM102" s="1"/>
  <c r="AI69"/>
  <c r="AI94" s="1"/>
  <c r="H68"/>
  <c r="H93" s="1"/>
  <c r="J64"/>
  <c r="J89" s="1"/>
  <c r="X73"/>
  <c r="X98" s="1"/>
  <c r="AL77"/>
  <c r="AL102" s="1"/>
  <c r="T64"/>
  <c r="T89" s="1"/>
  <c r="CR74"/>
  <c r="CR99" s="1"/>
  <c r="BL77"/>
  <c r="BL102" s="1"/>
  <c r="AN60"/>
  <c r="AN85" s="1"/>
  <c r="AN73"/>
  <c r="AN98" s="1"/>
  <c r="AP74"/>
  <c r="AP99" s="1"/>
  <c r="AR75"/>
  <c r="AR100" s="1"/>
  <c r="AT68"/>
  <c r="AT93" s="1"/>
  <c r="BR68"/>
  <c r="BR93" s="1"/>
  <c r="BP66"/>
  <c r="BP91" s="1"/>
  <c r="AV70"/>
  <c r="AV95" s="1"/>
  <c r="AX77"/>
  <c r="AX102" s="1"/>
  <c r="AX63"/>
  <c r="AX88" s="1"/>
  <c r="BB68"/>
  <c r="BB93" s="1"/>
  <c r="BB67"/>
  <c r="BB92" s="1"/>
  <c r="BF72"/>
  <c r="BF97" s="1"/>
  <c r="BH70"/>
  <c r="BH95" s="1"/>
  <c r="AH76"/>
  <c r="AH101" s="1"/>
  <c r="BJ60"/>
  <c r="BJ85" s="1"/>
  <c r="BN64"/>
  <c r="BN89" s="1"/>
  <c r="BV62"/>
  <c r="BV87" s="1"/>
  <c r="CB62"/>
  <c r="CB87" s="1"/>
  <c r="CB73"/>
  <c r="CB98" s="1"/>
  <c r="CD74"/>
  <c r="CD99" s="1"/>
  <c r="BZ72"/>
  <c r="BZ97" s="1"/>
  <c r="CH70"/>
  <c r="CH95" s="1"/>
  <c r="CJ68"/>
  <c r="CJ93" s="1"/>
  <c r="CL66"/>
  <c r="CL91" s="1"/>
  <c r="BX64"/>
  <c r="BX89" s="1"/>
  <c r="I70"/>
  <c r="I95" s="1"/>
  <c r="K66"/>
  <c r="K91" s="1"/>
  <c r="O64"/>
  <c r="O89" s="1"/>
  <c r="S62"/>
  <c r="S87" s="1"/>
  <c r="U60"/>
  <c r="U85" s="1"/>
  <c r="U76"/>
  <c r="U101" s="1"/>
  <c r="CO74"/>
  <c r="CO99" s="1"/>
  <c r="CQ72"/>
  <c r="CQ97" s="1"/>
  <c r="CS70"/>
  <c r="CS95" s="1"/>
  <c r="BQ68"/>
  <c r="BQ93" s="1"/>
  <c r="M72"/>
  <c r="M97" s="1"/>
  <c r="Q64"/>
  <c r="Q89" s="1"/>
  <c r="AG62"/>
  <c r="AG87" s="1"/>
  <c r="AM60"/>
  <c r="AM85" s="1"/>
  <c r="AM76"/>
  <c r="AM101" s="1"/>
  <c r="CG74"/>
  <c r="CG99" s="1"/>
  <c r="Y72"/>
  <c r="Y97" s="1"/>
  <c r="W68"/>
  <c r="W93" s="1"/>
  <c r="BE68"/>
  <c r="BE93" s="1"/>
  <c r="BM66"/>
  <c r="BM91" s="1"/>
  <c r="AA64"/>
  <c r="AA89" s="1"/>
  <c r="AC62"/>
  <c r="AC87" s="1"/>
  <c r="AE60"/>
  <c r="AE85" s="1"/>
  <c r="AE76"/>
  <c r="AE101" s="1"/>
  <c r="AI74"/>
  <c r="AI99" s="1"/>
  <c r="AK66"/>
  <c r="AK91" s="1"/>
  <c r="BU70"/>
  <c r="BU95" s="1"/>
  <c r="BW68"/>
  <c r="BW93" s="1"/>
  <c r="AU72"/>
  <c r="AU97" s="1"/>
  <c r="BS64"/>
  <c r="BS89" s="1"/>
  <c r="AO62"/>
  <c r="AO87" s="1"/>
  <c r="AQ60"/>
  <c r="AQ85" s="1"/>
  <c r="AQ76"/>
  <c r="AQ101" s="1"/>
  <c r="AS74"/>
  <c r="AS99" s="1"/>
  <c r="AW72"/>
  <c r="AW97" s="1"/>
  <c r="AY70"/>
  <c r="AY95" s="1"/>
  <c r="BA68"/>
  <c r="BA93" s="1"/>
  <c r="BC66"/>
  <c r="BC91" s="1"/>
  <c r="BG64"/>
  <c r="BG89" s="1"/>
  <c r="BI62"/>
  <c r="BI87" s="1"/>
  <c r="BK60"/>
  <c r="BK85" s="1"/>
  <c r="BK76"/>
  <c r="BK101" s="1"/>
  <c r="BO74"/>
  <c r="BO99" s="1"/>
  <c r="BY72"/>
  <c r="BY97" s="1"/>
  <c r="CA70"/>
  <c r="CA95" s="1"/>
  <c r="CC68"/>
  <c r="CC93" s="1"/>
  <c r="CE66"/>
  <c r="CE91" s="1"/>
  <c r="CI64"/>
  <c r="CI89" s="1"/>
  <c r="CK62"/>
  <c r="CK87" s="1"/>
  <c r="CM60"/>
  <c r="CM85" s="1"/>
  <c r="CM76"/>
  <c r="CM101" s="1"/>
  <c r="H69"/>
  <c r="H94" s="1"/>
  <c r="N64"/>
  <c r="N89" s="1"/>
  <c r="X72"/>
  <c r="X97" s="1"/>
  <c r="AL75"/>
  <c r="AL100" s="1"/>
  <c r="R77"/>
  <c r="R102" s="1"/>
  <c r="CR73"/>
  <c r="CR98" s="1"/>
  <c r="BL66"/>
  <c r="BL91" s="1"/>
  <c r="AD74"/>
  <c r="AD99" s="1"/>
  <c r="AN68"/>
  <c r="AN93" s="1"/>
  <c r="AP68"/>
  <c r="AP93" s="1"/>
  <c r="AR71"/>
  <c r="AR96" s="1"/>
  <c r="AT69"/>
  <c r="AT94" s="1"/>
  <c r="BR67"/>
  <c r="BR92" s="1"/>
  <c r="BP65"/>
  <c r="BP90" s="1"/>
  <c r="AV66"/>
  <c r="AV91" s="1"/>
  <c r="AZ77"/>
  <c r="AZ102" s="1"/>
  <c r="AX64"/>
  <c r="AX89" s="1"/>
  <c r="BB62"/>
  <c r="BB87" s="1"/>
  <c r="BB61"/>
  <c r="BB86" s="1"/>
  <c r="BF71"/>
  <c r="BF96" s="1"/>
  <c r="BH69"/>
  <c r="BH94" s="1"/>
  <c r="AH77"/>
  <c r="AH102" s="1"/>
  <c r="BJ76"/>
  <c r="BJ101" s="1"/>
  <c r="BN63"/>
  <c r="BN88" s="1"/>
  <c r="BV61"/>
  <c r="BV86" s="1"/>
  <c r="BV77"/>
  <c r="BV102" s="1"/>
  <c r="CB69"/>
  <c r="CB94" s="1"/>
  <c r="CD73"/>
  <c r="CD98" s="1"/>
  <c r="BZ71"/>
  <c r="BZ96" s="1"/>
  <c r="CH69"/>
  <c r="CH94" s="1"/>
  <c r="CJ67"/>
  <c r="CJ92" s="1"/>
  <c r="CL65"/>
  <c r="CL90" s="1"/>
  <c r="BX62"/>
  <c r="BX87" s="1"/>
  <c r="I71"/>
  <c r="I96" s="1"/>
  <c r="K65"/>
  <c r="K90" s="1"/>
  <c r="O63"/>
  <c r="O88" s="1"/>
  <c r="S61"/>
  <c r="S86" s="1"/>
  <c r="S77"/>
  <c r="S102" s="1"/>
  <c r="U75"/>
  <c r="U100" s="1"/>
  <c r="CO73"/>
  <c r="CO98" s="1"/>
  <c r="CQ71"/>
  <c r="CQ96" s="1"/>
  <c r="CS69"/>
  <c r="CS94" s="1"/>
  <c r="BQ67"/>
  <c r="BQ92" s="1"/>
  <c r="M73"/>
  <c r="M98" s="1"/>
  <c r="Q63"/>
  <c r="Q88" s="1"/>
  <c r="AG61"/>
  <c r="AG86" s="1"/>
  <c r="AG77"/>
  <c r="AG102" s="1"/>
  <c r="AM75"/>
  <c r="AM100" s="1"/>
  <c r="CG73"/>
  <c r="CG98" s="1"/>
  <c r="Y71"/>
  <c r="Y96" s="1"/>
  <c r="W69"/>
  <c r="W94" s="1"/>
  <c r="BE67"/>
  <c r="BE92" s="1"/>
  <c r="BM65"/>
  <c r="BM90" s="1"/>
  <c r="AA63"/>
  <c r="AA88" s="1"/>
  <c r="AC61"/>
  <c r="AC86" s="1"/>
  <c r="AC77"/>
  <c r="AC102" s="1"/>
  <c r="AE75"/>
  <c r="AE100" s="1"/>
  <c r="AI73"/>
  <c r="AI98" s="1"/>
  <c r="AK67"/>
  <c r="AK92" s="1"/>
  <c r="BU69"/>
  <c r="BU94" s="1"/>
  <c r="BW67"/>
  <c r="BW92" s="1"/>
  <c r="AU73"/>
  <c r="AU98" s="1"/>
  <c r="BS63"/>
  <c r="BS88" s="1"/>
  <c r="AO61"/>
  <c r="AO86" s="1"/>
  <c r="AO77"/>
  <c r="AO102" s="1"/>
  <c r="AQ75"/>
  <c r="AQ100" s="1"/>
  <c r="AS73"/>
  <c r="AS98" s="1"/>
  <c r="AW71"/>
  <c r="AW96" s="1"/>
  <c r="AY69"/>
  <c r="AY94" s="1"/>
  <c r="BA67"/>
  <c r="BA92" s="1"/>
  <c r="BC65"/>
  <c r="BC90" s="1"/>
  <c r="BG63"/>
  <c r="BG88" s="1"/>
  <c r="BI61"/>
  <c r="BI86" s="1"/>
  <c r="BI77"/>
  <c r="BI102" s="1"/>
  <c r="BK75"/>
  <c r="BK100" s="1"/>
  <c r="BO73"/>
  <c r="BO98" s="1"/>
  <c r="BY71"/>
  <c r="BY96" s="1"/>
  <c r="CA69"/>
  <c r="CA94" s="1"/>
  <c r="CC67"/>
  <c r="CC92" s="1"/>
  <c r="CE65"/>
  <c r="CE90" s="1"/>
  <c r="CI63"/>
  <c r="CI88" s="1"/>
  <c r="CK61"/>
  <c r="CK86" s="1"/>
  <c r="CK77"/>
  <c r="CK102" s="1"/>
  <c r="CM75"/>
  <c r="CM100" s="1"/>
  <c r="H71"/>
  <c r="H96" s="1"/>
  <c r="J65"/>
  <c r="J90" s="1"/>
  <c r="X62"/>
  <c r="X87" s="1"/>
  <c r="AL74"/>
  <c r="AL99" s="1"/>
  <c r="R72"/>
  <c r="R97" s="1"/>
  <c r="CR72"/>
  <c r="CR97" s="1"/>
  <c r="BL65"/>
  <c r="BL90" s="1"/>
  <c r="AD66"/>
  <c r="AD91" s="1"/>
  <c r="AN67"/>
  <c r="AN92" s="1"/>
  <c r="AP62"/>
  <c r="AP87" s="1"/>
  <c r="AR70"/>
  <c r="AR95" s="1"/>
  <c r="AT70"/>
  <c r="AT95" s="1"/>
  <c r="BR66"/>
  <c r="BR91" s="1"/>
  <c r="BP64"/>
  <c r="BP89" s="1"/>
  <c r="AV65"/>
  <c r="AV90" s="1"/>
  <c r="BB77"/>
  <c r="BB102" s="1"/>
  <c r="AZ64"/>
  <c r="AZ89" s="1"/>
  <c r="AZ75"/>
  <c r="AZ100" s="1"/>
  <c r="BB63"/>
  <c r="BB88" s="1"/>
  <c r="BF70"/>
  <c r="BF95" s="1"/>
  <c r="BH68"/>
  <c r="BH93" s="1"/>
  <c r="AH70"/>
  <c r="AH95" s="1"/>
  <c r="BJ77"/>
  <c r="BJ102" s="1"/>
  <c r="BN62"/>
  <c r="BN87" s="1"/>
  <c r="BV60"/>
  <c r="BV85" s="1"/>
  <c r="BV76"/>
  <c r="BV101" s="1"/>
  <c r="CB67"/>
  <c r="CB92" s="1"/>
  <c r="CD72"/>
  <c r="CD97" s="1"/>
  <c r="BZ70"/>
  <c r="BZ95" s="1"/>
  <c r="CH68"/>
  <c r="CH93" s="1"/>
  <c r="CJ66"/>
  <c r="CJ91" s="1"/>
  <c r="CL64"/>
  <c r="CL89" s="1"/>
  <c r="BX61"/>
  <c r="BX86" s="1"/>
  <c r="I72"/>
  <c r="I97" s="1"/>
  <c r="K64"/>
  <c r="K89" s="1"/>
  <c r="O62"/>
  <c r="O87" s="1"/>
  <c r="S60"/>
  <c r="S85" s="1"/>
  <c r="S76"/>
  <c r="S101" s="1"/>
  <c r="U74"/>
  <c r="U99" s="1"/>
  <c r="CO72"/>
  <c r="CO97" s="1"/>
  <c r="CQ70"/>
  <c r="CQ95" s="1"/>
  <c r="CS68"/>
  <c r="CS93" s="1"/>
  <c r="BQ66"/>
  <c r="BQ91" s="1"/>
  <c r="M74"/>
  <c r="M99" s="1"/>
  <c r="Q62"/>
  <c r="Q87" s="1"/>
  <c r="AG60"/>
  <c r="AG85" s="1"/>
  <c r="AG76"/>
  <c r="AG101" s="1"/>
  <c r="AM74"/>
  <c r="AM99" s="1"/>
  <c r="CG72"/>
  <c r="CG97" s="1"/>
  <c r="Y70"/>
  <c r="Y95" s="1"/>
  <c r="W70"/>
  <c r="W95" s="1"/>
  <c r="BE66"/>
  <c r="BE91" s="1"/>
  <c r="BM64"/>
  <c r="BM89" s="1"/>
  <c r="AA62"/>
  <c r="AA87" s="1"/>
  <c r="AC60"/>
  <c r="AC85" s="1"/>
  <c r="AC76"/>
  <c r="AC101" s="1"/>
  <c r="AE74"/>
  <c r="AE99" s="1"/>
  <c r="AI72"/>
  <c r="AI97" s="1"/>
  <c r="AK68"/>
  <c r="AK93" s="1"/>
  <c r="BU68"/>
  <c r="BU93" s="1"/>
  <c r="BW66"/>
  <c r="BW91" s="1"/>
  <c r="AU74"/>
  <c r="AU99" s="1"/>
  <c r="BS62"/>
  <c r="BS87" s="1"/>
  <c r="AO60"/>
  <c r="AO85" s="1"/>
  <c r="AO76"/>
  <c r="AO101" s="1"/>
  <c r="AQ74"/>
  <c r="AQ99" s="1"/>
  <c r="AS72"/>
  <c r="AS97" s="1"/>
  <c r="AW70"/>
  <c r="AW95" s="1"/>
  <c r="AY68"/>
  <c r="AY93" s="1"/>
  <c r="BA66"/>
  <c r="BA91" s="1"/>
  <c r="BC64"/>
  <c r="BC89" s="1"/>
  <c r="BG62"/>
  <c r="BG87" s="1"/>
  <c r="BI60"/>
  <c r="BI85" s="1"/>
  <c r="BI76"/>
  <c r="BI101" s="1"/>
  <c r="BK74"/>
  <c r="BK99" s="1"/>
  <c r="BO72"/>
  <c r="BO97" s="1"/>
  <c r="BY70"/>
  <c r="BY95" s="1"/>
  <c r="CA68"/>
  <c r="CA93" s="1"/>
  <c r="CC66"/>
  <c r="CC91" s="1"/>
  <c r="CE64"/>
  <c r="CE89" s="1"/>
  <c r="CI62"/>
  <c r="CI87" s="1"/>
  <c r="CK60"/>
  <c r="CK85" s="1"/>
  <c r="CK76"/>
  <c r="CK101" s="1"/>
  <c r="CM74"/>
  <c r="CM99" s="1"/>
  <c r="P77"/>
  <c r="P102" s="1"/>
  <c r="X61"/>
  <c r="X86" s="1"/>
  <c r="AL73"/>
  <c r="AL98" s="1"/>
  <c r="CR60"/>
  <c r="CR85" s="1"/>
  <c r="AN62"/>
  <c r="AN87" s="1"/>
  <c r="AP73"/>
  <c r="AP98" s="1"/>
  <c r="AR69"/>
  <c r="AR94" s="1"/>
  <c r="BR65"/>
  <c r="BR90" s="1"/>
  <c r="BP63"/>
  <c r="BP88" s="1"/>
  <c r="AV64"/>
  <c r="AV89" s="1"/>
  <c r="AV75"/>
  <c r="AV100" s="1"/>
  <c r="BB64"/>
  <c r="BB89" s="1"/>
  <c r="AZ69"/>
  <c r="AZ94" s="1"/>
  <c r="AZ60"/>
  <c r="AZ85" s="1"/>
  <c r="BF69"/>
  <c r="BF94" s="1"/>
  <c r="BH67"/>
  <c r="BH92" s="1"/>
  <c r="AH71"/>
  <c r="AH96" s="1"/>
  <c r="BJ70"/>
  <c r="BJ95" s="1"/>
  <c r="BN61"/>
  <c r="BN86" s="1"/>
  <c r="BN77"/>
  <c r="BN102" s="1"/>
  <c r="BV75"/>
  <c r="BV100" s="1"/>
  <c r="CB63"/>
  <c r="CB88" s="1"/>
  <c r="CD71"/>
  <c r="CD96" s="1"/>
  <c r="BZ69"/>
  <c r="BZ94" s="1"/>
  <c r="CH67"/>
  <c r="CH92" s="1"/>
  <c r="CJ65"/>
  <c r="CJ90" s="1"/>
  <c r="CL63"/>
  <c r="CL88" s="1"/>
  <c r="BX63"/>
  <c r="BX88" s="1"/>
  <c r="BX77"/>
  <c r="BX102" s="1"/>
  <c r="I73"/>
  <c r="I98" s="1"/>
  <c r="K63"/>
  <c r="K88" s="1"/>
  <c r="O61"/>
  <c r="O86" s="1"/>
  <c r="O77"/>
  <c r="O102" s="1"/>
  <c r="S75"/>
  <c r="S100" s="1"/>
  <c r="U73"/>
  <c r="U98" s="1"/>
  <c r="CO71"/>
  <c r="CO96" s="1"/>
  <c r="CQ69"/>
  <c r="CQ94" s="1"/>
  <c r="CS67"/>
  <c r="CS92" s="1"/>
  <c r="BQ65"/>
  <c r="BQ90" s="1"/>
  <c r="M75"/>
  <c r="M100" s="1"/>
  <c r="Q61"/>
  <c r="Q86" s="1"/>
  <c r="Q77"/>
  <c r="Q102" s="1"/>
  <c r="AG75"/>
  <c r="AG100" s="1"/>
  <c r="AM73"/>
  <c r="AM98" s="1"/>
  <c r="CG71"/>
  <c r="CG96" s="1"/>
  <c r="Y69"/>
  <c r="Y94" s="1"/>
  <c r="W71"/>
  <c r="W96" s="1"/>
  <c r="BE65"/>
  <c r="BE90" s="1"/>
  <c r="BM63"/>
  <c r="BM88" s="1"/>
  <c r="AA61"/>
  <c r="AA86" s="1"/>
  <c r="AA77"/>
  <c r="AA102" s="1"/>
  <c r="AC75"/>
  <c r="AC100" s="1"/>
  <c r="AE73"/>
  <c r="AE98" s="1"/>
  <c r="AI71"/>
  <c r="AI96" s="1"/>
  <c r="AK69"/>
  <c r="AK94" s="1"/>
  <c r="BU67"/>
  <c r="BU92" s="1"/>
  <c r="BW65"/>
  <c r="BW90" s="1"/>
  <c r="AU75"/>
  <c r="AU100" s="1"/>
  <c r="BS61"/>
  <c r="BS86" s="1"/>
  <c r="BS77"/>
  <c r="BS102" s="1"/>
  <c r="AO75"/>
  <c r="AO100" s="1"/>
  <c r="AQ73"/>
  <c r="AQ98" s="1"/>
  <c r="AS71"/>
  <c r="AS96" s="1"/>
  <c r="AW69"/>
  <c r="AW94" s="1"/>
  <c r="AY67"/>
  <c r="AY92" s="1"/>
  <c r="BA65"/>
  <c r="BA90" s="1"/>
  <c r="BC63"/>
  <c r="BC88" s="1"/>
  <c r="BG61"/>
  <c r="BG86" s="1"/>
  <c r="BG77"/>
  <c r="BG102" s="1"/>
  <c r="BI75"/>
  <c r="BI100" s="1"/>
  <c r="BK73"/>
  <c r="BK98" s="1"/>
  <c r="BY69"/>
  <c r="BY94" s="1"/>
  <c r="CL77"/>
  <c r="CL102" s="1"/>
  <c r="CG69"/>
  <c r="CG94" s="1"/>
  <c r="J66"/>
  <c r="J91" s="1"/>
  <c r="X60"/>
  <c r="X85" s="1"/>
  <c r="CP77"/>
  <c r="CP102" s="1"/>
  <c r="AN61"/>
  <c r="AN86" s="1"/>
  <c r="BP62"/>
  <c r="BP87" s="1"/>
  <c r="AV60"/>
  <c r="AV85" s="1"/>
  <c r="AV74"/>
  <c r="AV99" s="1"/>
  <c r="AX65"/>
  <c r="AX90" s="1"/>
  <c r="AZ63"/>
  <c r="AZ88" s="1"/>
  <c r="AZ61"/>
  <c r="AZ86" s="1"/>
  <c r="BF68"/>
  <c r="BF93" s="1"/>
  <c r="BH66"/>
  <c r="BH91" s="1"/>
  <c r="AH64"/>
  <c r="AH89" s="1"/>
  <c r="BJ71"/>
  <c r="BJ96" s="1"/>
  <c r="BN60"/>
  <c r="BN85" s="1"/>
  <c r="BN76"/>
  <c r="BN101" s="1"/>
  <c r="BV74"/>
  <c r="BV99" s="1"/>
  <c r="CB61"/>
  <c r="CB86" s="1"/>
  <c r="CD70"/>
  <c r="CD95" s="1"/>
  <c r="BZ68"/>
  <c r="BZ93" s="1"/>
  <c r="CJ64"/>
  <c r="CJ89" s="1"/>
  <c r="CL62"/>
  <c r="CL87" s="1"/>
  <c r="BX60"/>
  <c r="BX85" s="1"/>
  <c r="BX76"/>
  <c r="BX101" s="1"/>
  <c r="I74"/>
  <c r="I99" s="1"/>
  <c r="K62"/>
  <c r="K87" s="1"/>
  <c r="O60"/>
  <c r="O85" s="1"/>
  <c r="O76"/>
  <c r="O101" s="1"/>
  <c r="S74"/>
  <c r="S99" s="1"/>
  <c r="U72"/>
  <c r="U97" s="1"/>
  <c r="CO70"/>
  <c r="CO95" s="1"/>
  <c r="CQ68"/>
  <c r="CQ93" s="1"/>
  <c r="CS66"/>
  <c r="CS91" s="1"/>
  <c r="BQ64"/>
  <c r="BQ89" s="1"/>
  <c r="M76"/>
  <c r="M101" s="1"/>
  <c r="Q60"/>
  <c r="Q85" s="1"/>
  <c r="Q76"/>
  <c r="Q101" s="1"/>
  <c r="AG74"/>
  <c r="AG99" s="1"/>
  <c r="AM72"/>
  <c r="AM97" s="1"/>
  <c r="CG70"/>
  <c r="CG95" s="1"/>
  <c r="Y68"/>
  <c r="Y93" s="1"/>
  <c r="W72"/>
  <c r="W97" s="1"/>
  <c r="BE64"/>
  <c r="BE89" s="1"/>
  <c r="BM62"/>
  <c r="BM87" s="1"/>
  <c r="AA60"/>
  <c r="AA85" s="1"/>
  <c r="AA76"/>
  <c r="AA101" s="1"/>
  <c r="AC74"/>
  <c r="AC99" s="1"/>
  <c r="AE72"/>
  <c r="AE97" s="1"/>
  <c r="AI70"/>
  <c r="AI95" s="1"/>
  <c r="AK70"/>
  <c r="AK95" s="1"/>
  <c r="BU66"/>
  <c r="BU91" s="1"/>
  <c r="BW64"/>
  <c r="BW89" s="1"/>
  <c r="AU76"/>
  <c r="AU101" s="1"/>
  <c r="BS60"/>
  <c r="BS85" s="1"/>
  <c r="BS76"/>
  <c r="BS101" s="1"/>
  <c r="AO74"/>
  <c r="AO99" s="1"/>
  <c r="AQ72"/>
  <c r="AQ97" s="1"/>
  <c r="AS70"/>
  <c r="AS95" s="1"/>
  <c r="AW68"/>
  <c r="AW93" s="1"/>
  <c r="AY66"/>
  <c r="AY91" s="1"/>
  <c r="BA64"/>
  <c r="BA89" s="1"/>
  <c r="BC62"/>
  <c r="BC87" s="1"/>
  <c r="BG60"/>
  <c r="BG85" s="1"/>
  <c r="BG76"/>
  <c r="BG101" s="1"/>
  <c r="BI74"/>
  <c r="BI99" s="1"/>
  <c r="BK72"/>
  <c r="BK97" s="1"/>
  <c r="CK74"/>
  <c r="CK99" s="1"/>
  <c r="X63"/>
  <c r="X88" s="1"/>
  <c r="R69"/>
  <c r="R94" s="1"/>
  <c r="CP63"/>
  <c r="CP88" s="1"/>
  <c r="CR61"/>
  <c r="CR86" s="1"/>
  <c r="Z63"/>
  <c r="Z88" s="1"/>
  <c r="BL69"/>
  <c r="BL94" s="1"/>
  <c r="E76"/>
  <c r="AF76"/>
  <c r="AF101" s="1"/>
  <c r="BT70"/>
  <c r="BT95" s="1"/>
  <c r="CP62"/>
  <c r="CP87" s="1"/>
  <c r="CR76"/>
  <c r="CR101" s="1"/>
  <c r="BD70"/>
  <c r="BD95" s="1"/>
  <c r="BL68"/>
  <c r="BL93" s="1"/>
  <c r="P63"/>
  <c r="P88" s="1"/>
  <c r="BT69"/>
  <c r="BT94" s="1"/>
  <c r="CN63"/>
  <c r="CN88" s="1"/>
  <c r="CP61"/>
  <c r="CP86" s="1"/>
  <c r="V67"/>
  <c r="V92" s="1"/>
  <c r="BD69"/>
  <c r="BD94" s="1"/>
  <c r="BL67"/>
  <c r="BL92" s="1"/>
  <c r="AB67"/>
  <c r="AB92" s="1"/>
  <c r="AD75"/>
  <c r="AD100" s="1"/>
  <c r="P62"/>
  <c r="P87" s="1"/>
  <c r="X76"/>
  <c r="X101" s="1"/>
  <c r="CF70"/>
  <c r="CF95" s="1"/>
  <c r="BT68"/>
  <c r="BT93" s="1"/>
  <c r="CN62"/>
  <c r="CN87" s="1"/>
  <c r="CP76"/>
  <c r="CP101" s="1"/>
  <c r="V68"/>
  <c r="V93" s="1"/>
  <c r="BD68"/>
  <c r="BD93" s="1"/>
  <c r="L76"/>
  <c r="L101" s="1"/>
  <c r="CF69"/>
  <c r="CF94" s="1"/>
  <c r="T63"/>
  <c r="T88" s="1"/>
  <c r="CN61"/>
  <c r="CN86" s="1"/>
  <c r="V69"/>
  <c r="V94" s="1"/>
  <c r="AB61"/>
  <c r="AB86" s="1"/>
  <c r="AD69"/>
  <c r="AD94" s="1"/>
  <c r="E61"/>
  <c r="E68"/>
  <c r="H70"/>
  <c r="H95" s="1"/>
  <c r="N66"/>
  <c r="N91" s="1"/>
  <c r="P60"/>
  <c r="P85" s="1"/>
  <c r="P76"/>
  <c r="P101" s="1"/>
  <c r="X74"/>
  <c r="X99" s="1"/>
  <c r="AL70"/>
  <c r="AL95" s="1"/>
  <c r="CF68"/>
  <c r="CF93" s="1"/>
  <c r="BT66"/>
  <c r="BT91" s="1"/>
  <c r="T62"/>
  <c r="T87" s="1"/>
  <c r="CN60"/>
  <c r="CN85" s="1"/>
  <c r="CN76"/>
  <c r="CN101" s="1"/>
  <c r="CP74"/>
  <c r="CP99" s="1"/>
  <c r="Z68"/>
  <c r="Z93" s="1"/>
  <c r="V70"/>
  <c r="V95" s="1"/>
  <c r="BD66"/>
  <c r="BD91" s="1"/>
  <c r="AJ76"/>
  <c r="AJ101" s="1"/>
  <c r="AB60"/>
  <c r="AB85" s="1"/>
  <c r="AB76"/>
  <c r="AB101" s="1"/>
  <c r="AD68"/>
  <c r="AD93" s="1"/>
  <c r="J67"/>
  <c r="J92" s="1"/>
  <c r="L61"/>
  <c r="L86" s="1"/>
  <c r="L62"/>
  <c r="L87" s="1"/>
  <c r="P75"/>
  <c r="P100" s="1"/>
  <c r="AF71"/>
  <c r="AF96" s="1"/>
  <c r="AL69"/>
  <c r="AL94" s="1"/>
  <c r="CF67"/>
  <c r="CF92" s="1"/>
  <c r="BT65"/>
  <c r="BT90" s="1"/>
  <c r="R63"/>
  <c r="R88" s="1"/>
  <c r="T61"/>
  <c r="T86" s="1"/>
  <c r="CN75"/>
  <c r="CN100" s="1"/>
  <c r="CP73"/>
  <c r="CP98" s="1"/>
  <c r="CR71"/>
  <c r="CR96" s="1"/>
  <c r="Z69"/>
  <c r="Z94" s="1"/>
  <c r="V71"/>
  <c r="V96" s="1"/>
  <c r="BD65"/>
  <c r="BD90" s="1"/>
  <c r="BL63"/>
  <c r="BL88" s="1"/>
  <c r="AJ61"/>
  <c r="AJ86" s="1"/>
  <c r="AB75"/>
  <c r="AB100" s="1"/>
  <c r="AD63"/>
  <c r="AD88" s="1"/>
  <c r="E67"/>
  <c r="N75"/>
  <c r="N100" s="1"/>
  <c r="N67"/>
  <c r="N92" s="1"/>
  <c r="L60"/>
  <c r="L85" s="1"/>
  <c r="L63"/>
  <c r="L88" s="1"/>
  <c r="P74"/>
  <c r="P99" s="1"/>
  <c r="AF70"/>
  <c r="AF95" s="1"/>
  <c r="AL68"/>
  <c r="AL93" s="1"/>
  <c r="CF66"/>
  <c r="CF91" s="1"/>
  <c r="R62"/>
  <c r="R87" s="1"/>
  <c r="T60"/>
  <c r="T85" s="1"/>
  <c r="T76"/>
  <c r="T101" s="1"/>
  <c r="CN74"/>
  <c r="CN99" s="1"/>
  <c r="CR70"/>
  <c r="CR95" s="1"/>
  <c r="Z70"/>
  <c r="Z95" s="1"/>
  <c r="BL62"/>
  <c r="BL87" s="1"/>
  <c r="AJ60"/>
  <c r="AJ85" s="1"/>
  <c r="AJ62"/>
  <c r="AJ87" s="1"/>
  <c r="AB71"/>
  <c r="AB96" s="1"/>
  <c r="AD62"/>
  <c r="AD87" s="1"/>
  <c r="H73"/>
  <c r="H98" s="1"/>
  <c r="J76"/>
  <c r="J101" s="1"/>
  <c r="J68"/>
  <c r="J93" s="1"/>
  <c r="J60"/>
  <c r="J85" s="1"/>
  <c r="P73"/>
  <c r="P98" s="1"/>
  <c r="X71"/>
  <c r="X96" s="1"/>
  <c r="AF69"/>
  <c r="AF94" s="1"/>
  <c r="AL67"/>
  <c r="AL92" s="1"/>
  <c r="CF65"/>
  <c r="CF90" s="1"/>
  <c r="BT63"/>
  <c r="BT88" s="1"/>
  <c r="R61"/>
  <c r="R86" s="1"/>
  <c r="T75"/>
  <c r="T100" s="1"/>
  <c r="CN73"/>
  <c r="CN98" s="1"/>
  <c r="CP71"/>
  <c r="CP96" s="1"/>
  <c r="CR69"/>
  <c r="CR94" s="1"/>
  <c r="Z71"/>
  <c r="Z96" s="1"/>
  <c r="V73"/>
  <c r="V98" s="1"/>
  <c r="BD63"/>
  <c r="BD88" s="1"/>
  <c r="BL61"/>
  <c r="BL86" s="1"/>
  <c r="AJ63"/>
  <c r="AJ88" s="1"/>
  <c r="AB70"/>
  <c r="AB95" s="1"/>
  <c r="AD73"/>
  <c r="AD98" s="1"/>
  <c r="E66"/>
  <c r="E73"/>
  <c r="H74"/>
  <c r="H99" s="1"/>
  <c r="N76"/>
  <c r="N101" s="1"/>
  <c r="N68"/>
  <c r="N93" s="1"/>
  <c r="N60"/>
  <c r="N85" s="1"/>
  <c r="L65"/>
  <c r="L90" s="1"/>
  <c r="X70"/>
  <c r="X95" s="1"/>
  <c r="AF68"/>
  <c r="AF93" s="1"/>
  <c r="AL66"/>
  <c r="AL91" s="1"/>
  <c r="BT62"/>
  <c r="BT87" s="1"/>
  <c r="R60"/>
  <c r="R85" s="1"/>
  <c r="R76"/>
  <c r="R101" s="1"/>
  <c r="T74"/>
  <c r="T99" s="1"/>
  <c r="CP70"/>
  <c r="CP95" s="1"/>
  <c r="CR68"/>
  <c r="CR93" s="1"/>
  <c r="Z72"/>
  <c r="Z97" s="1"/>
  <c r="V74"/>
  <c r="V99" s="1"/>
  <c r="BD62"/>
  <c r="BD87" s="1"/>
  <c r="BL60"/>
  <c r="BL85" s="1"/>
  <c r="BL76"/>
  <c r="BL101" s="1"/>
  <c r="AJ64"/>
  <c r="AJ89" s="1"/>
  <c r="AB69"/>
  <c r="AB94" s="1"/>
  <c r="AD67"/>
  <c r="AD92" s="1"/>
  <c r="H75"/>
  <c r="H100" s="1"/>
  <c r="J69"/>
  <c r="J94" s="1"/>
  <c r="J61"/>
  <c r="J86" s="1"/>
  <c r="L66"/>
  <c r="L91" s="1"/>
  <c r="P71"/>
  <c r="P96" s="1"/>
  <c r="X69"/>
  <c r="X94" s="1"/>
  <c r="AF67"/>
  <c r="AF92" s="1"/>
  <c r="AL65"/>
  <c r="AL90" s="1"/>
  <c r="CF63"/>
  <c r="CF88" s="1"/>
  <c r="BT61"/>
  <c r="BT86" s="1"/>
  <c r="R75"/>
  <c r="R100" s="1"/>
  <c r="T73"/>
  <c r="T98" s="1"/>
  <c r="CN71"/>
  <c r="CN96" s="1"/>
  <c r="CP69"/>
  <c r="CP94" s="1"/>
  <c r="CR67"/>
  <c r="CR92" s="1"/>
  <c r="Z73"/>
  <c r="Z98" s="1"/>
  <c r="V75"/>
  <c r="V100" s="1"/>
  <c r="BD61"/>
  <c r="BD86" s="1"/>
  <c r="BD77"/>
  <c r="BD102" s="1"/>
  <c r="BL75"/>
  <c r="BL100" s="1"/>
  <c r="AJ65"/>
  <c r="AJ90" s="1"/>
  <c r="AB65"/>
  <c r="AB90" s="1"/>
  <c r="AD61"/>
  <c r="AD86" s="1"/>
  <c r="H76"/>
  <c r="H101" s="1"/>
  <c r="N77"/>
  <c r="N102" s="1"/>
  <c r="N69"/>
  <c r="N94" s="1"/>
  <c r="N61"/>
  <c r="N86" s="1"/>
  <c r="L67"/>
  <c r="L92" s="1"/>
  <c r="P70"/>
  <c r="P95" s="1"/>
  <c r="X68"/>
  <c r="X93" s="1"/>
  <c r="AF66"/>
  <c r="AF91" s="1"/>
  <c r="AL64"/>
  <c r="AL89" s="1"/>
  <c r="CF62"/>
  <c r="CF87" s="1"/>
  <c r="BT60"/>
  <c r="BT85" s="1"/>
  <c r="BT76"/>
  <c r="BT101" s="1"/>
  <c r="R74"/>
  <c r="R99" s="1"/>
  <c r="T72"/>
  <c r="T97" s="1"/>
  <c r="CN70"/>
  <c r="CN95" s="1"/>
  <c r="CP68"/>
  <c r="CP93" s="1"/>
  <c r="CR66"/>
  <c r="CR91" s="1"/>
  <c r="Z74"/>
  <c r="Z99" s="1"/>
  <c r="V76"/>
  <c r="V101" s="1"/>
  <c r="BD60"/>
  <c r="BD85" s="1"/>
  <c r="BD76"/>
  <c r="BD101" s="1"/>
  <c r="BL74"/>
  <c r="BL99" s="1"/>
  <c r="AJ66"/>
  <c r="AJ91" s="1"/>
  <c r="AB64"/>
  <c r="AB89" s="1"/>
  <c r="AD77"/>
  <c r="AD102" s="1"/>
  <c r="E65"/>
  <c r="H77"/>
  <c r="H102" s="1"/>
  <c r="H61"/>
  <c r="H86" s="1"/>
  <c r="J70"/>
  <c r="J95" s="1"/>
  <c r="J62"/>
  <c r="J87" s="1"/>
  <c r="L68"/>
  <c r="L93" s="1"/>
  <c r="P69"/>
  <c r="P94" s="1"/>
  <c r="X67"/>
  <c r="X92" s="1"/>
  <c r="AF65"/>
  <c r="AF90" s="1"/>
  <c r="AL63"/>
  <c r="AL88" s="1"/>
  <c r="CF61"/>
  <c r="CF86" s="1"/>
  <c r="CF77"/>
  <c r="CF102" s="1"/>
  <c r="BT75"/>
  <c r="BT100" s="1"/>
  <c r="R73"/>
  <c r="R98" s="1"/>
  <c r="T71"/>
  <c r="T96" s="1"/>
  <c r="CN69"/>
  <c r="CN94" s="1"/>
  <c r="CP67"/>
  <c r="CP92" s="1"/>
  <c r="CR65"/>
  <c r="CR90" s="1"/>
  <c r="Z75"/>
  <c r="Z100" s="1"/>
  <c r="V77"/>
  <c r="V102" s="1"/>
  <c r="V61"/>
  <c r="V86" s="1"/>
  <c r="BD75"/>
  <c r="BD100" s="1"/>
  <c r="BL73"/>
  <c r="BL98" s="1"/>
  <c r="AJ67"/>
  <c r="AJ92" s="1"/>
  <c r="AB63"/>
  <c r="AB88" s="1"/>
  <c r="AD76"/>
  <c r="AD101" s="1"/>
  <c r="H60"/>
  <c r="H85" s="1"/>
  <c r="H62"/>
  <c r="H87" s="1"/>
  <c r="N70"/>
  <c r="N95" s="1"/>
  <c r="N62"/>
  <c r="N87" s="1"/>
  <c r="L69"/>
  <c r="L94" s="1"/>
  <c r="P68"/>
  <c r="P93" s="1"/>
  <c r="X66"/>
  <c r="X91" s="1"/>
  <c r="AL62"/>
  <c r="AL87" s="1"/>
  <c r="CF60"/>
  <c r="CF85" s="1"/>
  <c r="CF76"/>
  <c r="CF101" s="1"/>
  <c r="BT74"/>
  <c r="BT99" s="1"/>
  <c r="T70"/>
  <c r="T95" s="1"/>
  <c r="CN68"/>
  <c r="CN93" s="1"/>
  <c r="CP66"/>
  <c r="CP91" s="1"/>
  <c r="CR64"/>
  <c r="CR89" s="1"/>
  <c r="Z76"/>
  <c r="Z101" s="1"/>
  <c r="V60"/>
  <c r="V85" s="1"/>
  <c r="V62"/>
  <c r="V87" s="1"/>
  <c r="BD74"/>
  <c r="BD99" s="1"/>
  <c r="BL72"/>
  <c r="BL97" s="1"/>
  <c r="AJ68"/>
  <c r="AJ93" s="1"/>
  <c r="AB74"/>
  <c r="AB99" s="1"/>
  <c r="AD72"/>
  <c r="AD97" s="1"/>
  <c r="H63"/>
  <c r="H88" s="1"/>
  <c r="J71"/>
  <c r="J96" s="1"/>
  <c r="J63"/>
  <c r="J88" s="1"/>
  <c r="L70"/>
  <c r="L95" s="1"/>
  <c r="P67"/>
  <c r="P92" s="1"/>
  <c r="X65"/>
  <c r="X90" s="1"/>
  <c r="AF63"/>
  <c r="AF88" s="1"/>
  <c r="AL61"/>
  <c r="AL86" s="1"/>
  <c r="BT73"/>
  <c r="BT98" s="1"/>
  <c r="R71"/>
  <c r="R96" s="1"/>
  <c r="T69"/>
  <c r="T94" s="1"/>
  <c r="CR63"/>
  <c r="CR88" s="1"/>
  <c r="V63"/>
  <c r="V88" s="1"/>
  <c r="BL71"/>
  <c r="BL96" s="1"/>
  <c r="AB68"/>
  <c r="AB93" s="1"/>
  <c r="AD71"/>
  <c r="AD96" s="1"/>
  <c r="H64"/>
  <c r="H89" s="1"/>
  <c r="N71"/>
  <c r="N96" s="1"/>
  <c r="P66"/>
  <c r="P91" s="1"/>
  <c r="X64"/>
  <c r="X89" s="1"/>
  <c r="AF62"/>
  <c r="AF87" s="1"/>
  <c r="AL60"/>
  <c r="AL85" s="1"/>
  <c r="BT72"/>
  <c r="BT97" s="1"/>
  <c r="R70"/>
  <c r="R95" s="1"/>
  <c r="CN66"/>
  <c r="CN91" s="1"/>
  <c r="CP64"/>
  <c r="CP89" s="1"/>
  <c r="CR62"/>
  <c r="CR87" s="1"/>
  <c r="Z62"/>
  <c r="Z87" s="1"/>
  <c r="BL70"/>
  <c r="BL95" s="1"/>
  <c r="AJ70"/>
  <c r="AJ95" s="1"/>
  <c r="E63"/>
  <c r="E71"/>
  <c r="E77"/>
  <c r="E64"/>
  <c r="E72"/>
  <c r="E62"/>
  <c r="E70"/>
  <c r="E11"/>
  <c r="E10"/>
  <c r="E9"/>
  <c r="E7"/>
  <c r="F75" i="1"/>
  <c r="H75" s="1"/>
  <c r="J75" s="1"/>
  <c r="K75" s="1"/>
  <c r="AA38"/>
  <c r="AA37"/>
  <c r="AA36"/>
  <c r="AA35"/>
  <c r="F73"/>
  <c r="H73" s="1"/>
  <c r="J73" s="1"/>
  <c r="K73" s="1"/>
  <c r="F71"/>
  <c r="H71" s="1"/>
  <c r="J71" s="1"/>
  <c r="K71" s="1"/>
  <c r="U123" i="44"/>
  <c r="V123"/>
  <c r="V82"/>
  <c r="U82"/>
  <c r="U48"/>
  <c r="V48"/>
  <c r="U15"/>
  <c r="V15"/>
  <c r="F74" i="1"/>
  <c r="H74" s="1"/>
  <c r="J74" s="1"/>
  <c r="K74" s="1"/>
  <c r="M71"/>
  <c r="W87"/>
  <c r="G109"/>
  <c r="H109" s="1"/>
  <c r="J109" s="1"/>
  <c r="K109" s="1"/>
  <c r="G113"/>
  <c r="H113" s="1"/>
  <c r="J113" s="1"/>
  <c r="K113" s="1"/>
  <c r="G112"/>
  <c r="H112" s="1"/>
  <c r="J112" s="1"/>
  <c r="K112" s="1"/>
  <c r="G111"/>
  <c r="H111" s="1"/>
  <c r="J111" s="1"/>
  <c r="K111" s="1"/>
  <c r="G110"/>
  <c r="H110" s="1"/>
  <c r="J110" s="1"/>
  <c r="K110" s="1"/>
  <c r="M109"/>
  <c r="I79"/>
  <c r="AJ54"/>
  <c r="I80"/>
  <c r="AM49"/>
  <c r="AO49" s="1"/>
  <c r="I83"/>
  <c r="I82"/>
  <c r="U125" i="44" l="1"/>
  <c r="V125"/>
  <c r="N71" i="1"/>
  <c r="O71" s="1"/>
  <c r="P71" s="1"/>
  <c r="F17" s="1"/>
  <c r="U88"/>
  <c r="U19"/>
  <c r="N109"/>
  <c r="O109" s="1"/>
  <c r="P109" s="1"/>
  <c r="K17" s="1"/>
  <c r="AP49"/>
  <c r="P9" s="1"/>
  <c r="O356" i="13"/>
  <c r="N356"/>
  <c r="M356"/>
  <c r="L356"/>
  <c r="O355"/>
  <c r="N355"/>
  <c r="M355"/>
  <c r="L355"/>
  <c r="B357"/>
  <c r="O328"/>
  <c r="N328"/>
  <c r="M328"/>
  <c r="L328"/>
  <c r="O327"/>
  <c r="N327"/>
  <c r="M327"/>
  <c r="L327"/>
  <c r="O326"/>
  <c r="N326"/>
  <c r="M326"/>
  <c r="L326"/>
  <c r="O325"/>
  <c r="N325"/>
  <c r="M325"/>
  <c r="L325"/>
  <c r="O324"/>
  <c r="N324"/>
  <c r="M324"/>
  <c r="L324"/>
  <c r="O323"/>
  <c r="N323"/>
  <c r="M323"/>
  <c r="L323"/>
  <c r="O322"/>
  <c r="N322"/>
  <c r="M322"/>
  <c r="L322"/>
  <c r="O321"/>
  <c r="N321"/>
  <c r="M321"/>
  <c r="L321"/>
  <c r="O320"/>
  <c r="N320"/>
  <c r="M320"/>
  <c r="L320"/>
  <c r="O319"/>
  <c r="N319"/>
  <c r="M319"/>
  <c r="L319"/>
  <c r="O312"/>
  <c r="N312"/>
  <c r="M312"/>
  <c r="L312"/>
  <c r="O311"/>
  <c r="N311"/>
  <c r="M311"/>
  <c r="L311"/>
  <c r="O310"/>
  <c r="N310"/>
  <c r="M310"/>
  <c r="L310"/>
  <c r="O309"/>
  <c r="N309"/>
  <c r="M309"/>
  <c r="L309"/>
  <c r="O308"/>
  <c r="N308"/>
  <c r="M308"/>
  <c r="L308"/>
  <c r="O298"/>
  <c r="N298"/>
  <c r="M298"/>
  <c r="L298"/>
  <c r="O297"/>
  <c r="N297"/>
  <c r="M297"/>
  <c r="L297"/>
  <c r="O296"/>
  <c r="N296"/>
  <c r="M296"/>
  <c r="L296"/>
  <c r="O295"/>
  <c r="N295"/>
  <c r="M295"/>
  <c r="L295"/>
  <c r="O294"/>
  <c r="N294"/>
  <c r="M294"/>
  <c r="L294"/>
  <c r="O279"/>
  <c r="N279"/>
  <c r="M279"/>
  <c r="L279"/>
  <c r="O278"/>
  <c r="N278"/>
  <c r="M278"/>
  <c r="L278"/>
  <c r="O277"/>
  <c r="N277"/>
  <c r="M277"/>
  <c r="L277"/>
  <c r="O276"/>
  <c r="N276"/>
  <c r="M276"/>
  <c r="L276"/>
  <c r="O275"/>
  <c r="N275"/>
  <c r="M275"/>
  <c r="L275"/>
  <c r="O274"/>
  <c r="N274"/>
  <c r="M274"/>
  <c r="L274"/>
  <c r="O273"/>
  <c r="N273"/>
  <c r="M273"/>
  <c r="L273"/>
  <c r="O272"/>
  <c r="N272"/>
  <c r="M272"/>
  <c r="L272"/>
  <c r="O271"/>
  <c r="N271"/>
  <c r="M271"/>
  <c r="L271"/>
  <c r="O270"/>
  <c r="N270"/>
  <c r="M270"/>
  <c r="L270"/>
  <c r="O207"/>
  <c r="N207"/>
  <c r="M207"/>
  <c r="L207"/>
  <c r="O206"/>
  <c r="N206"/>
  <c r="M206"/>
  <c r="L206"/>
  <c r="O205"/>
  <c r="N205"/>
  <c r="M205"/>
  <c r="L205"/>
  <c r="O204"/>
  <c r="N204"/>
  <c r="M204"/>
  <c r="L204"/>
  <c r="O198"/>
  <c r="N198"/>
  <c r="M198"/>
  <c r="L198"/>
  <c r="O197"/>
  <c r="N197"/>
  <c r="M197"/>
  <c r="L197"/>
  <c r="O196"/>
  <c r="N196"/>
  <c r="M196"/>
  <c r="L196"/>
  <c r="O195"/>
  <c r="N195"/>
  <c r="M195"/>
  <c r="L195"/>
  <c r="O194"/>
  <c r="N194"/>
  <c r="M194"/>
  <c r="L194"/>
  <c r="O179"/>
  <c r="N179"/>
  <c r="M179"/>
  <c r="L179"/>
  <c r="O178"/>
  <c r="N178"/>
  <c r="M178"/>
  <c r="L178"/>
  <c r="O177"/>
  <c r="N177"/>
  <c r="M177"/>
  <c r="L177"/>
  <c r="O176"/>
  <c r="N176"/>
  <c r="M176"/>
  <c r="L176"/>
  <c r="O175"/>
  <c r="N175"/>
  <c r="M175"/>
  <c r="L175"/>
  <c r="O146"/>
  <c r="N146"/>
  <c r="M146"/>
  <c r="L146"/>
  <c r="O145"/>
  <c r="N145"/>
  <c r="M145"/>
  <c r="L145"/>
  <c r="O144"/>
  <c r="N144"/>
  <c r="M144"/>
  <c r="L144"/>
  <c r="O143"/>
  <c r="N143"/>
  <c r="M143"/>
  <c r="L143"/>
  <c r="O142"/>
  <c r="N142"/>
  <c r="M142"/>
  <c r="L142"/>
  <c r="O113"/>
  <c r="N113"/>
  <c r="M113"/>
  <c r="L113"/>
  <c r="O112"/>
  <c r="N112"/>
  <c r="M112"/>
  <c r="L112"/>
  <c r="O111"/>
  <c r="N111"/>
  <c r="M111"/>
  <c r="L111"/>
  <c r="O110"/>
  <c r="N110"/>
  <c r="M110"/>
  <c r="L110"/>
  <c r="O109"/>
  <c r="N109"/>
  <c r="M109"/>
  <c r="L109"/>
  <c r="O94"/>
  <c r="N94"/>
  <c r="M94"/>
  <c r="L94"/>
  <c r="O93"/>
  <c r="N93"/>
  <c r="M93"/>
  <c r="L93"/>
  <c r="O92"/>
  <c r="N92"/>
  <c r="M92"/>
  <c r="L92"/>
  <c r="O91"/>
  <c r="N91"/>
  <c r="M91"/>
  <c r="L91"/>
  <c r="O90"/>
  <c r="N90"/>
  <c r="M90"/>
  <c r="L90"/>
  <c r="L75"/>
  <c r="L74"/>
  <c r="O75"/>
  <c r="O74"/>
  <c r="O73"/>
  <c r="O72"/>
  <c r="O71"/>
  <c r="N75"/>
  <c r="N74"/>
  <c r="N73"/>
  <c r="M75"/>
  <c r="M74"/>
  <c r="M73"/>
  <c r="L73"/>
  <c r="N72"/>
  <c r="M72"/>
  <c r="L72"/>
  <c r="N71"/>
  <c r="M71"/>
  <c r="L71"/>
  <c r="J13" i="31"/>
  <c r="J12"/>
  <c r="J11"/>
  <c r="J10"/>
  <c r="J7"/>
  <c r="J6"/>
  <c r="J9"/>
  <c r="J8"/>
  <c r="I32"/>
  <c r="I33"/>
  <c r="I34"/>
  <c r="I35"/>
  <c r="I36"/>
  <c r="I37"/>
  <c r="I38"/>
  <c r="I39"/>
  <c r="I40"/>
  <c r="I41"/>
  <c r="I42"/>
  <c r="I43"/>
  <c r="I44"/>
  <c r="I45"/>
  <c r="I46"/>
  <c r="I47"/>
  <c r="I31"/>
  <c r="I30"/>
  <c r="AJ37" i="1"/>
  <c r="AM32"/>
  <c r="AO32" s="1"/>
  <c r="M100"/>
  <c r="L180" i="13"/>
  <c r="W58" i="1"/>
  <c r="W59"/>
  <c r="W51"/>
  <c r="W52"/>
  <c r="W53"/>
  <c r="W54"/>
  <c r="W55"/>
  <c r="W56"/>
  <c r="W57"/>
  <c r="W50"/>
  <c r="AA42"/>
  <c r="Z42"/>
  <c r="Y42"/>
  <c r="W42"/>
  <c r="Y38"/>
  <c r="Y37"/>
  <c r="Y36"/>
  <c r="Y35"/>
  <c r="Y34"/>
  <c r="X36"/>
  <c r="O354" i="13"/>
  <c r="N354"/>
  <c r="M354"/>
  <c r="L354"/>
  <c r="O353"/>
  <c r="N353"/>
  <c r="M353"/>
  <c r="L353"/>
  <c r="O352"/>
  <c r="N352"/>
  <c r="M352"/>
  <c r="L352"/>
  <c r="O351"/>
  <c r="N351"/>
  <c r="M351"/>
  <c r="L351"/>
  <c r="O350"/>
  <c r="N350"/>
  <c r="M350"/>
  <c r="L350"/>
  <c r="O349"/>
  <c r="N349"/>
  <c r="M349"/>
  <c r="L349"/>
  <c r="O348"/>
  <c r="N348"/>
  <c r="M348"/>
  <c r="L348"/>
  <c r="O347"/>
  <c r="N347"/>
  <c r="M347"/>
  <c r="L347"/>
  <c r="O346"/>
  <c r="N346"/>
  <c r="M346"/>
  <c r="L346"/>
  <c r="O345"/>
  <c r="N345"/>
  <c r="M345"/>
  <c r="L345"/>
  <c r="O344"/>
  <c r="N344"/>
  <c r="M344"/>
  <c r="L344"/>
  <c r="O343"/>
  <c r="N343"/>
  <c r="M343"/>
  <c r="L343"/>
  <c r="O342"/>
  <c r="N342"/>
  <c r="M342"/>
  <c r="L342"/>
  <c r="O341"/>
  <c r="N341"/>
  <c r="M341"/>
  <c r="L341"/>
  <c r="O340"/>
  <c r="N340"/>
  <c r="M340"/>
  <c r="L340"/>
  <c r="O339"/>
  <c r="N339"/>
  <c r="M339"/>
  <c r="L339"/>
  <c r="O338"/>
  <c r="N338"/>
  <c r="M338"/>
  <c r="L338"/>
  <c r="O337"/>
  <c r="N337"/>
  <c r="M337"/>
  <c r="L337"/>
  <c r="O336"/>
  <c r="N336"/>
  <c r="M336"/>
  <c r="L336"/>
  <c r="O335"/>
  <c r="N335"/>
  <c r="M335"/>
  <c r="L335"/>
  <c r="O334"/>
  <c r="N334"/>
  <c r="M334"/>
  <c r="L334"/>
  <c r="O333"/>
  <c r="N333"/>
  <c r="M333"/>
  <c r="L333"/>
  <c r="O332"/>
  <c r="N332"/>
  <c r="M332"/>
  <c r="L332"/>
  <c r="O331"/>
  <c r="N331"/>
  <c r="M331"/>
  <c r="L331"/>
  <c r="O330"/>
  <c r="N330"/>
  <c r="M330"/>
  <c r="L330"/>
  <c r="O329"/>
  <c r="N329"/>
  <c r="M329"/>
  <c r="L329"/>
  <c r="O318"/>
  <c r="N318"/>
  <c r="M318"/>
  <c r="L318"/>
  <c r="O317"/>
  <c r="N317"/>
  <c r="M317"/>
  <c r="L317"/>
  <c r="O316"/>
  <c r="N316"/>
  <c r="M316"/>
  <c r="L316"/>
  <c r="O315"/>
  <c r="N315"/>
  <c r="M315"/>
  <c r="L315"/>
  <c r="O314"/>
  <c r="N314"/>
  <c r="M314"/>
  <c r="L314"/>
  <c r="O313"/>
  <c r="N313"/>
  <c r="M313"/>
  <c r="L313"/>
  <c r="O307"/>
  <c r="N307"/>
  <c r="M307"/>
  <c r="L307"/>
  <c r="O306"/>
  <c r="N306"/>
  <c r="M306"/>
  <c r="L306"/>
  <c r="O305"/>
  <c r="N305"/>
  <c r="M305"/>
  <c r="L305"/>
  <c r="O304"/>
  <c r="N304"/>
  <c r="M304"/>
  <c r="L304"/>
  <c r="O303"/>
  <c r="N303"/>
  <c r="M303"/>
  <c r="L303"/>
  <c r="O302"/>
  <c r="N302"/>
  <c r="M302"/>
  <c r="L302"/>
  <c r="O301"/>
  <c r="N301"/>
  <c r="M301"/>
  <c r="L301"/>
  <c r="O300"/>
  <c r="N300"/>
  <c r="M300"/>
  <c r="L300"/>
  <c r="O299"/>
  <c r="N299"/>
  <c r="M299"/>
  <c r="L299"/>
  <c r="O293"/>
  <c r="N293"/>
  <c r="M293"/>
  <c r="L293"/>
  <c r="O292"/>
  <c r="N292"/>
  <c r="M292"/>
  <c r="L292"/>
  <c r="O291"/>
  <c r="N291"/>
  <c r="M291"/>
  <c r="L291"/>
  <c r="O290"/>
  <c r="N290"/>
  <c r="M290"/>
  <c r="L290"/>
  <c r="O289"/>
  <c r="N289"/>
  <c r="M289"/>
  <c r="L289"/>
  <c r="O288"/>
  <c r="N288"/>
  <c r="M288"/>
  <c r="L288"/>
  <c r="O287"/>
  <c r="N287"/>
  <c r="M287"/>
  <c r="L287"/>
  <c r="O286"/>
  <c r="N286"/>
  <c r="M286"/>
  <c r="L286"/>
  <c r="O285"/>
  <c r="N285"/>
  <c r="M285"/>
  <c r="L285"/>
  <c r="O284"/>
  <c r="N284"/>
  <c r="M284"/>
  <c r="L284"/>
  <c r="O283"/>
  <c r="N283"/>
  <c r="M283"/>
  <c r="L283"/>
  <c r="O282"/>
  <c r="N282"/>
  <c r="M282"/>
  <c r="L282"/>
  <c r="O281"/>
  <c r="N281"/>
  <c r="M281"/>
  <c r="L281"/>
  <c r="O280"/>
  <c r="N280"/>
  <c r="M280"/>
  <c r="L280"/>
  <c r="O269"/>
  <c r="N269"/>
  <c r="M269"/>
  <c r="L269"/>
  <c r="O268"/>
  <c r="N268"/>
  <c r="M268"/>
  <c r="L268"/>
  <c r="O267"/>
  <c r="N267"/>
  <c r="M267"/>
  <c r="L267"/>
  <c r="O266"/>
  <c r="N266"/>
  <c r="M266"/>
  <c r="L266"/>
  <c r="O265"/>
  <c r="N265"/>
  <c r="M265"/>
  <c r="L265"/>
  <c r="O264"/>
  <c r="N264"/>
  <c r="M264"/>
  <c r="L264"/>
  <c r="O263"/>
  <c r="N263"/>
  <c r="M263"/>
  <c r="L263"/>
  <c r="O262"/>
  <c r="N262"/>
  <c r="M262"/>
  <c r="L262"/>
  <c r="O261"/>
  <c r="N261"/>
  <c r="M261"/>
  <c r="L261"/>
  <c r="O260"/>
  <c r="N260"/>
  <c r="M260"/>
  <c r="L260"/>
  <c r="O259"/>
  <c r="N259"/>
  <c r="M259"/>
  <c r="L259"/>
  <c r="O258"/>
  <c r="N258"/>
  <c r="M258"/>
  <c r="L258"/>
  <c r="O257"/>
  <c r="N257"/>
  <c r="M257"/>
  <c r="L257"/>
  <c r="O256"/>
  <c r="N256"/>
  <c r="M256"/>
  <c r="L256"/>
  <c r="O255"/>
  <c r="N255"/>
  <c r="M255"/>
  <c r="L255"/>
  <c r="O254"/>
  <c r="N254"/>
  <c r="M254"/>
  <c r="L254"/>
  <c r="O253"/>
  <c r="N253"/>
  <c r="M253"/>
  <c r="L253"/>
  <c r="O252"/>
  <c r="N252"/>
  <c r="M252"/>
  <c r="L252"/>
  <c r="O251"/>
  <c r="N251"/>
  <c r="M251"/>
  <c r="L251"/>
  <c r="O250"/>
  <c r="N250"/>
  <c r="M250"/>
  <c r="L250"/>
  <c r="O249"/>
  <c r="N249"/>
  <c r="M249"/>
  <c r="L249"/>
  <c r="O248"/>
  <c r="N248"/>
  <c r="M248"/>
  <c r="L248"/>
  <c r="O247"/>
  <c r="N247"/>
  <c r="M247"/>
  <c r="L247"/>
  <c r="O246"/>
  <c r="N246"/>
  <c r="M246"/>
  <c r="L246"/>
  <c r="O245"/>
  <c r="N245"/>
  <c r="M245"/>
  <c r="L245"/>
  <c r="O244"/>
  <c r="N244"/>
  <c r="M244"/>
  <c r="L244"/>
  <c r="O243"/>
  <c r="N243"/>
  <c r="M243"/>
  <c r="L243"/>
  <c r="O242"/>
  <c r="N242"/>
  <c r="M242"/>
  <c r="L242"/>
  <c r="O241"/>
  <c r="N241"/>
  <c r="M241"/>
  <c r="L241"/>
  <c r="O240"/>
  <c r="N240"/>
  <c r="M240"/>
  <c r="L240"/>
  <c r="O239"/>
  <c r="N239"/>
  <c r="M239"/>
  <c r="L239"/>
  <c r="O238"/>
  <c r="N238"/>
  <c r="M238"/>
  <c r="L238"/>
  <c r="O237"/>
  <c r="N237"/>
  <c r="M237"/>
  <c r="L237"/>
  <c r="O236"/>
  <c r="N236"/>
  <c r="M236"/>
  <c r="L236"/>
  <c r="O235"/>
  <c r="N235"/>
  <c r="M235"/>
  <c r="L235"/>
  <c r="O234"/>
  <c r="N234"/>
  <c r="M234"/>
  <c r="L234"/>
  <c r="O233"/>
  <c r="N233"/>
  <c r="M233"/>
  <c r="L233"/>
  <c r="O232"/>
  <c r="N232"/>
  <c r="M232"/>
  <c r="L232"/>
  <c r="O231"/>
  <c r="N231"/>
  <c r="M231"/>
  <c r="L231"/>
  <c r="O230"/>
  <c r="N230"/>
  <c r="M230"/>
  <c r="L230"/>
  <c r="O229"/>
  <c r="N229"/>
  <c r="M229"/>
  <c r="L229"/>
  <c r="O228"/>
  <c r="N228"/>
  <c r="M228"/>
  <c r="L228"/>
  <c r="O227"/>
  <c r="N227"/>
  <c r="M227"/>
  <c r="L227"/>
  <c r="O226"/>
  <c r="N226"/>
  <c r="M226"/>
  <c r="L226"/>
  <c r="O225"/>
  <c r="N225"/>
  <c r="M225"/>
  <c r="L225"/>
  <c r="O224"/>
  <c r="N224"/>
  <c r="M224"/>
  <c r="L224"/>
  <c r="O223"/>
  <c r="N223"/>
  <c r="M223"/>
  <c r="L223"/>
  <c r="O222"/>
  <c r="N222"/>
  <c r="M222"/>
  <c r="L222"/>
  <c r="O221"/>
  <c r="N221"/>
  <c r="M221"/>
  <c r="L221"/>
  <c r="O220"/>
  <c r="N220"/>
  <c r="M220"/>
  <c r="L220"/>
  <c r="O219"/>
  <c r="N219"/>
  <c r="M219"/>
  <c r="L219"/>
  <c r="O218"/>
  <c r="N218"/>
  <c r="M218"/>
  <c r="L218"/>
  <c r="O217"/>
  <c r="N217"/>
  <c r="M217"/>
  <c r="L217"/>
  <c r="O216"/>
  <c r="N216"/>
  <c r="M216"/>
  <c r="L216"/>
  <c r="O215"/>
  <c r="N215"/>
  <c r="M215"/>
  <c r="L215"/>
  <c r="O214"/>
  <c r="N214"/>
  <c r="M214"/>
  <c r="L214"/>
  <c r="O213"/>
  <c r="N213"/>
  <c r="M213"/>
  <c r="L213"/>
  <c r="O212"/>
  <c r="N212"/>
  <c r="M212"/>
  <c r="L212"/>
  <c r="O211"/>
  <c r="N211"/>
  <c r="M211"/>
  <c r="L211"/>
  <c r="O210"/>
  <c r="N210"/>
  <c r="M210"/>
  <c r="L210"/>
  <c r="O209"/>
  <c r="N209"/>
  <c r="M209"/>
  <c r="L209"/>
  <c r="O208"/>
  <c r="N208"/>
  <c r="M208"/>
  <c r="L208"/>
  <c r="O203"/>
  <c r="N203"/>
  <c r="M203"/>
  <c r="L203"/>
  <c r="O202"/>
  <c r="N202"/>
  <c r="M202"/>
  <c r="L202"/>
  <c r="O201"/>
  <c r="N201"/>
  <c r="M201"/>
  <c r="L201"/>
  <c r="O200"/>
  <c r="N200"/>
  <c r="M200"/>
  <c r="L200"/>
  <c r="O199"/>
  <c r="N199"/>
  <c r="M199"/>
  <c r="L199"/>
  <c r="O193"/>
  <c r="N193"/>
  <c r="M193"/>
  <c r="L193"/>
  <c r="O192"/>
  <c r="N192"/>
  <c r="M192"/>
  <c r="L192"/>
  <c r="O191"/>
  <c r="N191"/>
  <c r="M191"/>
  <c r="L191"/>
  <c r="O190"/>
  <c r="N190"/>
  <c r="M190"/>
  <c r="L190"/>
  <c r="O189"/>
  <c r="N189"/>
  <c r="M189"/>
  <c r="L189"/>
  <c r="O188"/>
  <c r="N188"/>
  <c r="M188"/>
  <c r="L188"/>
  <c r="O187"/>
  <c r="N187"/>
  <c r="M187"/>
  <c r="L187"/>
  <c r="O186"/>
  <c r="N186"/>
  <c r="M186"/>
  <c r="L186"/>
  <c r="O185"/>
  <c r="N185"/>
  <c r="M185"/>
  <c r="L185"/>
  <c r="O184"/>
  <c r="N184"/>
  <c r="M184"/>
  <c r="L184"/>
  <c r="O183"/>
  <c r="N183"/>
  <c r="M183"/>
  <c r="L183"/>
  <c r="O182"/>
  <c r="N182"/>
  <c r="M182"/>
  <c r="L182"/>
  <c r="O181"/>
  <c r="N181"/>
  <c r="M181"/>
  <c r="L181"/>
  <c r="O180"/>
  <c r="N180"/>
  <c r="M180"/>
  <c r="O174"/>
  <c r="N174"/>
  <c r="M174"/>
  <c r="L174"/>
  <c r="O173"/>
  <c r="N173"/>
  <c r="M173"/>
  <c r="L173"/>
  <c r="O172"/>
  <c r="N172"/>
  <c r="M172"/>
  <c r="L172"/>
  <c r="O171"/>
  <c r="N171"/>
  <c r="M171"/>
  <c r="L171"/>
  <c r="O170"/>
  <c r="N170"/>
  <c r="M170"/>
  <c r="L170"/>
  <c r="O169"/>
  <c r="N169"/>
  <c r="M169"/>
  <c r="L169"/>
  <c r="O168"/>
  <c r="N168"/>
  <c r="M168"/>
  <c r="L168"/>
  <c r="O167"/>
  <c r="N167"/>
  <c r="M167"/>
  <c r="L167"/>
  <c r="O166"/>
  <c r="N166"/>
  <c r="M166"/>
  <c r="L166"/>
  <c r="O165"/>
  <c r="N165"/>
  <c r="M165"/>
  <c r="L165"/>
  <c r="O164"/>
  <c r="N164"/>
  <c r="M164"/>
  <c r="L164"/>
  <c r="O163"/>
  <c r="N163"/>
  <c r="M163"/>
  <c r="L163"/>
  <c r="O162"/>
  <c r="N162"/>
  <c r="M162"/>
  <c r="L162"/>
  <c r="O161"/>
  <c r="N161"/>
  <c r="M161"/>
  <c r="L161"/>
  <c r="O160"/>
  <c r="N160"/>
  <c r="M160"/>
  <c r="L160"/>
  <c r="O159"/>
  <c r="N159"/>
  <c r="M159"/>
  <c r="L159"/>
  <c r="O158"/>
  <c r="N158"/>
  <c r="M158"/>
  <c r="L158"/>
  <c r="O157"/>
  <c r="N157"/>
  <c r="M157"/>
  <c r="L157"/>
  <c r="O156"/>
  <c r="N156"/>
  <c r="M156"/>
  <c r="L156"/>
  <c r="O155"/>
  <c r="N155"/>
  <c r="M155"/>
  <c r="L155"/>
  <c r="O154"/>
  <c r="N154"/>
  <c r="M154"/>
  <c r="L154"/>
  <c r="O153"/>
  <c r="N153"/>
  <c r="M153"/>
  <c r="L153"/>
  <c r="O152"/>
  <c r="N152"/>
  <c r="M152"/>
  <c r="L152"/>
  <c r="O151"/>
  <c r="N151"/>
  <c r="M151"/>
  <c r="L151"/>
  <c r="O150"/>
  <c r="N150"/>
  <c r="M150"/>
  <c r="L150"/>
  <c r="O149"/>
  <c r="N149"/>
  <c r="M149"/>
  <c r="L149"/>
  <c r="O148"/>
  <c r="N148"/>
  <c r="M148"/>
  <c r="L148"/>
  <c r="O147"/>
  <c r="N147"/>
  <c r="M147"/>
  <c r="L147"/>
  <c r="O141"/>
  <c r="N141"/>
  <c r="M141"/>
  <c r="L141"/>
  <c r="O140"/>
  <c r="N140"/>
  <c r="M140"/>
  <c r="L140"/>
  <c r="O139"/>
  <c r="N139"/>
  <c r="M139"/>
  <c r="L139"/>
  <c r="O138"/>
  <c r="N138"/>
  <c r="M138"/>
  <c r="L138"/>
  <c r="O137"/>
  <c r="N137"/>
  <c r="M137"/>
  <c r="L137"/>
  <c r="O136"/>
  <c r="N136"/>
  <c r="M136"/>
  <c r="L136"/>
  <c r="O135"/>
  <c r="N135"/>
  <c r="M135"/>
  <c r="L135"/>
  <c r="O134"/>
  <c r="N134"/>
  <c r="M134"/>
  <c r="L134"/>
  <c r="O133"/>
  <c r="N133"/>
  <c r="M133"/>
  <c r="L133"/>
  <c r="O132"/>
  <c r="N132"/>
  <c r="M132"/>
  <c r="L132"/>
  <c r="O131"/>
  <c r="N131"/>
  <c r="M131"/>
  <c r="L131"/>
  <c r="O130"/>
  <c r="N130"/>
  <c r="M130"/>
  <c r="L130"/>
  <c r="O129"/>
  <c r="N129"/>
  <c r="M129"/>
  <c r="L129"/>
  <c r="O128"/>
  <c r="N128"/>
  <c r="M128"/>
  <c r="L128"/>
  <c r="O127"/>
  <c r="N127"/>
  <c r="M127"/>
  <c r="L127"/>
  <c r="O126"/>
  <c r="N126"/>
  <c r="M126"/>
  <c r="L126"/>
  <c r="O125"/>
  <c r="N125"/>
  <c r="M125"/>
  <c r="L125"/>
  <c r="O124"/>
  <c r="N124"/>
  <c r="M124"/>
  <c r="L124"/>
  <c r="O123"/>
  <c r="N123"/>
  <c r="M123"/>
  <c r="L123"/>
  <c r="O122"/>
  <c r="N122"/>
  <c r="M122"/>
  <c r="L122"/>
  <c r="O121"/>
  <c r="N121"/>
  <c r="M121"/>
  <c r="L121"/>
  <c r="O120"/>
  <c r="N120"/>
  <c r="M120"/>
  <c r="L120"/>
  <c r="O119"/>
  <c r="N119"/>
  <c r="M119"/>
  <c r="L119"/>
  <c r="O118"/>
  <c r="N118"/>
  <c r="M118"/>
  <c r="L118"/>
  <c r="O117"/>
  <c r="N117"/>
  <c r="M117"/>
  <c r="L117"/>
  <c r="O116"/>
  <c r="N116"/>
  <c r="M116"/>
  <c r="L116"/>
  <c r="O115"/>
  <c r="N115"/>
  <c r="M115"/>
  <c r="L115"/>
  <c r="O114"/>
  <c r="N114"/>
  <c r="M114"/>
  <c r="L114"/>
  <c r="O108"/>
  <c r="N108"/>
  <c r="M108"/>
  <c r="L108"/>
  <c r="O107"/>
  <c r="N107"/>
  <c r="M107"/>
  <c r="L107"/>
  <c r="O106"/>
  <c r="N106"/>
  <c r="M106"/>
  <c r="L106"/>
  <c r="O105"/>
  <c r="N105"/>
  <c r="M105"/>
  <c r="L105"/>
  <c r="O104"/>
  <c r="N104"/>
  <c r="M104"/>
  <c r="L104"/>
  <c r="O103"/>
  <c r="N103"/>
  <c r="M103"/>
  <c r="L103"/>
  <c r="O102"/>
  <c r="N102"/>
  <c r="M102"/>
  <c r="L102"/>
  <c r="O101"/>
  <c r="N101"/>
  <c r="M101"/>
  <c r="L101"/>
  <c r="O100"/>
  <c r="N100"/>
  <c r="M100"/>
  <c r="L100"/>
  <c r="O99"/>
  <c r="N99"/>
  <c r="M99"/>
  <c r="L99"/>
  <c r="O98"/>
  <c r="N98"/>
  <c r="M98"/>
  <c r="L98"/>
  <c r="O97"/>
  <c r="N97"/>
  <c r="M97"/>
  <c r="L97"/>
  <c r="O96"/>
  <c r="N96"/>
  <c r="M96"/>
  <c r="L96"/>
  <c r="O95"/>
  <c r="N95"/>
  <c r="M95"/>
  <c r="L95"/>
  <c r="O89"/>
  <c r="N89"/>
  <c r="M89"/>
  <c r="L89"/>
  <c r="O88"/>
  <c r="N88"/>
  <c r="M88"/>
  <c r="L88"/>
  <c r="O87"/>
  <c r="N87"/>
  <c r="M87"/>
  <c r="L87"/>
  <c r="O86"/>
  <c r="N86"/>
  <c r="M86"/>
  <c r="L86"/>
  <c r="O85"/>
  <c r="N85"/>
  <c r="M85"/>
  <c r="L85"/>
  <c r="O84"/>
  <c r="N84"/>
  <c r="M84"/>
  <c r="L84"/>
  <c r="O83"/>
  <c r="N83"/>
  <c r="M83"/>
  <c r="L83"/>
  <c r="O82"/>
  <c r="N82"/>
  <c r="M82"/>
  <c r="L82"/>
  <c r="O81"/>
  <c r="N81"/>
  <c r="M81"/>
  <c r="L81"/>
  <c r="O80"/>
  <c r="N80"/>
  <c r="M80"/>
  <c r="L80"/>
  <c r="O79"/>
  <c r="N79"/>
  <c r="M79"/>
  <c r="L79"/>
  <c r="O78"/>
  <c r="N78"/>
  <c r="M78"/>
  <c r="L78"/>
  <c r="O77"/>
  <c r="N77"/>
  <c r="M77"/>
  <c r="L77"/>
  <c r="O76"/>
  <c r="N76"/>
  <c r="M76"/>
  <c r="L76"/>
  <c r="O70"/>
  <c r="N70"/>
  <c r="M70"/>
  <c r="L70"/>
  <c r="O69"/>
  <c r="N69"/>
  <c r="M69"/>
  <c r="L69"/>
  <c r="O68"/>
  <c r="N68"/>
  <c r="M68"/>
  <c r="L68"/>
  <c r="O67"/>
  <c r="N67"/>
  <c r="M67"/>
  <c r="L67"/>
  <c r="O66"/>
  <c r="N66"/>
  <c r="M66"/>
  <c r="L66"/>
  <c r="O65"/>
  <c r="N65"/>
  <c r="M65"/>
  <c r="L65"/>
  <c r="O64"/>
  <c r="N64"/>
  <c r="M64"/>
  <c r="L64"/>
  <c r="O63"/>
  <c r="N63"/>
  <c r="M63"/>
  <c r="L63"/>
  <c r="O62"/>
  <c r="N62"/>
  <c r="M62"/>
  <c r="L62"/>
  <c r="O61"/>
  <c r="N61"/>
  <c r="M61"/>
  <c r="L61"/>
  <c r="O60"/>
  <c r="N60"/>
  <c r="M60"/>
  <c r="L60"/>
  <c r="O59"/>
  <c r="N59"/>
  <c r="M59"/>
  <c r="L59"/>
  <c r="O58"/>
  <c r="N58"/>
  <c r="M58"/>
  <c r="L58"/>
  <c r="O57"/>
  <c r="N57"/>
  <c r="M57"/>
  <c r="L57"/>
  <c r="O56"/>
  <c r="N56"/>
  <c r="M56"/>
  <c r="L56"/>
  <c r="O55"/>
  <c r="N55"/>
  <c r="M55"/>
  <c r="L55"/>
  <c r="O54"/>
  <c r="N54"/>
  <c r="M54"/>
  <c r="L54"/>
  <c r="O53"/>
  <c r="N53"/>
  <c r="M53"/>
  <c r="L53"/>
  <c r="O52"/>
  <c r="N52"/>
  <c r="M52"/>
  <c r="L52"/>
  <c r="O51"/>
  <c r="N51"/>
  <c r="M51"/>
  <c r="L51"/>
  <c r="O50"/>
  <c r="N50"/>
  <c r="M50"/>
  <c r="L50"/>
  <c r="O49"/>
  <c r="N49"/>
  <c r="M49"/>
  <c r="L49"/>
  <c r="O48"/>
  <c r="N48"/>
  <c r="M48"/>
  <c r="L48"/>
  <c r="O47"/>
  <c r="N47"/>
  <c r="M47"/>
  <c r="L47"/>
  <c r="O46"/>
  <c r="N46"/>
  <c r="M46"/>
  <c r="L46"/>
  <c r="O45"/>
  <c r="N45"/>
  <c r="M45"/>
  <c r="L45"/>
  <c r="O44"/>
  <c r="N44"/>
  <c r="M44"/>
  <c r="L44"/>
  <c r="O43"/>
  <c r="N43"/>
  <c r="M43"/>
  <c r="L43"/>
  <c r="O42"/>
  <c r="N42"/>
  <c r="M42"/>
  <c r="L42"/>
  <c r="O41"/>
  <c r="N41"/>
  <c r="M41"/>
  <c r="L41"/>
  <c r="O40"/>
  <c r="N40"/>
  <c r="M40"/>
  <c r="L40"/>
  <c r="O39"/>
  <c r="N39"/>
  <c r="M39"/>
  <c r="L39"/>
  <c r="O38"/>
  <c r="N38"/>
  <c r="M38"/>
  <c r="L38"/>
  <c r="N37"/>
  <c r="M37"/>
  <c r="L37"/>
  <c r="N36"/>
  <c r="M36"/>
  <c r="L36"/>
  <c r="N35"/>
  <c r="M35"/>
  <c r="L35"/>
  <c r="N34"/>
  <c r="M34"/>
  <c r="L34"/>
  <c r="N33"/>
  <c r="M33"/>
  <c r="L33"/>
  <c r="N32"/>
  <c r="M32"/>
  <c r="L32"/>
  <c r="O16"/>
  <c r="N16"/>
  <c r="M16"/>
  <c r="L16"/>
  <c r="O15"/>
  <c r="N15"/>
  <c r="M15"/>
  <c r="L15"/>
  <c r="O14"/>
  <c r="N14"/>
  <c r="M14"/>
  <c r="L14"/>
  <c r="O13"/>
  <c r="N13"/>
  <c r="M13"/>
  <c r="L13"/>
  <c r="O12"/>
  <c r="N12"/>
  <c r="M12"/>
  <c r="L12"/>
  <c r="O11"/>
  <c r="N11"/>
  <c r="M11"/>
  <c r="L11"/>
  <c r="O10"/>
  <c r="N10"/>
  <c r="M10"/>
  <c r="L10"/>
  <c r="O9"/>
  <c r="N9"/>
  <c r="M9"/>
  <c r="L9"/>
  <c r="O8"/>
  <c r="N8"/>
  <c r="M8"/>
  <c r="L8"/>
  <c r="O7"/>
  <c r="N7"/>
  <c r="M7"/>
  <c r="L7"/>
  <c r="O6"/>
  <c r="N6"/>
  <c r="M6"/>
  <c r="L6"/>
  <c r="O5"/>
  <c r="N5"/>
  <c r="M5"/>
  <c r="L5"/>
  <c r="O4"/>
  <c r="N4"/>
  <c r="M4"/>
  <c r="L4"/>
  <c r="O3"/>
  <c r="N3"/>
  <c r="M3"/>
  <c r="L3"/>
  <c r="F32" i="1"/>
  <c r="H32" s="1"/>
  <c r="J32" s="1"/>
  <c r="K32" s="1"/>
  <c r="F33"/>
  <c r="H33" s="1"/>
  <c r="F34"/>
  <c r="H34" s="1"/>
  <c r="J34" s="1"/>
  <c r="K34" s="1"/>
  <c r="F35"/>
  <c r="H35" s="1"/>
  <c r="J35" s="1"/>
  <c r="K35" s="1"/>
  <c r="F31"/>
  <c r="H31" s="1"/>
  <c r="J31" s="1"/>
  <c r="K31" s="1"/>
  <c r="M63"/>
  <c r="M55"/>
  <c r="M47"/>
  <c r="M39"/>
  <c r="M31"/>
  <c r="G104" l="1"/>
  <c r="H104" s="1"/>
  <c r="J104" s="1"/>
  <c r="K104" s="1"/>
  <c r="G103"/>
  <c r="H103" s="1"/>
  <c r="J103" s="1"/>
  <c r="K103" s="1"/>
  <c r="G102"/>
  <c r="H102" s="1"/>
  <c r="J102" s="1"/>
  <c r="K102" s="1"/>
  <c r="G101"/>
  <c r="H101" s="1"/>
  <c r="G100"/>
  <c r="H100" s="1"/>
  <c r="J100" s="1"/>
  <c r="K100" s="1"/>
  <c r="X58"/>
  <c r="U13"/>
  <c r="X59"/>
  <c r="U14"/>
  <c r="X50"/>
  <c r="U5"/>
  <c r="X51"/>
  <c r="U6"/>
  <c r="U7"/>
  <c r="X52"/>
  <c r="X53"/>
  <c r="U8"/>
  <c r="X54"/>
  <c r="U9"/>
  <c r="X55"/>
  <c r="U10"/>
  <c r="X56"/>
  <c r="U11"/>
  <c r="X57"/>
  <c r="U12"/>
  <c r="N2" i="13"/>
  <c r="R2" s="1"/>
  <c r="M2"/>
  <c r="L357"/>
  <c r="L2"/>
  <c r="N357"/>
  <c r="N359" s="1"/>
  <c r="M357"/>
  <c r="J23" i="31"/>
  <c r="J22"/>
  <c r="J18"/>
  <c r="J16"/>
  <c r="J15"/>
  <c r="J25"/>
  <c r="J24"/>
  <c r="J14"/>
  <c r="J21"/>
  <c r="J20"/>
  <c r="J19"/>
  <c r="J17"/>
  <c r="AP32" i="1"/>
  <c r="O9" s="1"/>
  <c r="AC37"/>
  <c r="F57"/>
  <c r="H57" s="1"/>
  <c r="J57" s="1"/>
  <c r="K57" s="1"/>
  <c r="AC38"/>
  <c r="AC36"/>
  <c r="AC35"/>
  <c r="AC34"/>
  <c r="F66"/>
  <c r="H66" s="1"/>
  <c r="J66" s="1"/>
  <c r="K66" s="1"/>
  <c r="F83"/>
  <c r="H83" s="1"/>
  <c r="J83" s="1"/>
  <c r="K83" s="1"/>
  <c r="F63"/>
  <c r="H63" s="1"/>
  <c r="J63" s="1"/>
  <c r="K63" s="1"/>
  <c r="F55"/>
  <c r="H55" s="1"/>
  <c r="J55" s="1"/>
  <c r="K55" s="1"/>
  <c r="F79"/>
  <c r="H79" s="1"/>
  <c r="J79" s="1"/>
  <c r="K79" s="1"/>
  <c r="F58"/>
  <c r="H58" s="1"/>
  <c r="J58" s="1"/>
  <c r="K58" s="1"/>
  <c r="F42"/>
  <c r="H42" s="1"/>
  <c r="J42" s="1"/>
  <c r="K42" s="1"/>
  <c r="F50"/>
  <c r="H50" s="1"/>
  <c r="J50" s="1"/>
  <c r="K50" s="1"/>
  <c r="F49"/>
  <c r="H49" s="1"/>
  <c r="J49" s="1"/>
  <c r="K49" s="1"/>
  <c r="F41"/>
  <c r="H41" s="1"/>
  <c r="J41" s="1"/>
  <c r="K41" s="1"/>
  <c r="F65"/>
  <c r="H65" s="1"/>
  <c r="J65" s="1"/>
  <c r="K65" s="1"/>
  <c r="F47"/>
  <c r="H47" s="1"/>
  <c r="J47" s="1"/>
  <c r="K47" s="1"/>
  <c r="F59"/>
  <c r="H59" s="1"/>
  <c r="J59" s="1"/>
  <c r="K59" s="1"/>
  <c r="F67"/>
  <c r="H67" s="1"/>
  <c r="J67" s="1"/>
  <c r="K67" s="1"/>
  <c r="M79"/>
  <c r="F64"/>
  <c r="H64" s="1"/>
  <c r="J64" s="1"/>
  <c r="K64" s="1"/>
  <c r="F51"/>
  <c r="H51" s="1"/>
  <c r="J51" s="1"/>
  <c r="K51" s="1"/>
  <c r="F56"/>
  <c r="H56" s="1"/>
  <c r="J56" s="1"/>
  <c r="K56" s="1"/>
  <c r="F48"/>
  <c r="H48" s="1"/>
  <c r="J48" s="1"/>
  <c r="K48" s="1"/>
  <c r="F43"/>
  <c r="H43" s="1"/>
  <c r="J43" s="1"/>
  <c r="K43" s="1"/>
  <c r="F40"/>
  <c r="H40" s="1"/>
  <c r="J40" s="1"/>
  <c r="K40" s="1"/>
  <c r="F39"/>
  <c r="H39" s="1"/>
  <c r="J39" s="1"/>
  <c r="K39" s="1"/>
  <c r="F82"/>
  <c r="F80"/>
  <c r="J33"/>
  <c r="K33" s="1"/>
  <c r="N31"/>
  <c r="O31" s="1"/>
  <c r="P31" s="1"/>
  <c r="C17" s="1"/>
  <c r="J101" l="1"/>
  <c r="K101" s="1"/>
  <c r="N100"/>
  <c r="O100" s="1"/>
  <c r="P100" s="1"/>
  <c r="K16" s="1"/>
  <c r="U67"/>
  <c r="X16"/>
  <c r="Y16"/>
  <c r="X15"/>
  <c r="Y15"/>
  <c r="U66"/>
  <c r="X14"/>
  <c r="Y14"/>
  <c r="U65"/>
  <c r="U69"/>
  <c r="X18"/>
  <c r="Y18"/>
  <c r="AD37"/>
  <c r="AE37" s="1"/>
  <c r="U68"/>
  <c r="X17"/>
  <c r="Y17"/>
  <c r="V65"/>
  <c r="V68"/>
  <c r="AD36"/>
  <c r="AE36" s="1"/>
  <c r="V67"/>
  <c r="AD35"/>
  <c r="AE35" s="1"/>
  <c r="X6" s="1"/>
  <c r="V66"/>
  <c r="V69"/>
  <c r="AD34"/>
  <c r="AE34" s="1"/>
  <c r="AD38"/>
  <c r="AE38" s="1"/>
  <c r="H82"/>
  <c r="J82" s="1"/>
  <c r="K82" s="1"/>
  <c r="F81"/>
  <c r="H81" s="1"/>
  <c r="J81" s="1"/>
  <c r="K81" s="1"/>
  <c r="H80"/>
  <c r="J80" s="1"/>
  <c r="K80" s="1"/>
  <c r="N55"/>
  <c r="O55" s="1"/>
  <c r="P55" s="1"/>
  <c r="G17" s="1"/>
  <c r="N47"/>
  <c r="O47" s="1"/>
  <c r="P47" s="1"/>
  <c r="E17" s="1"/>
  <c r="N39"/>
  <c r="O39" s="1"/>
  <c r="P39" s="1"/>
  <c r="D17" s="1"/>
  <c r="N63"/>
  <c r="O63" s="1"/>
  <c r="P63" s="1"/>
  <c r="H17" s="1"/>
  <c r="X9" l="1"/>
  <c r="X7"/>
  <c r="X8"/>
  <c r="X5"/>
  <c r="U71"/>
  <c r="Y19"/>
  <c r="X19"/>
  <c r="V71"/>
  <c r="N79"/>
  <c r="O79" s="1"/>
  <c r="P79" s="1"/>
  <c r="G20" s="1"/>
  <c r="O37" i="13" l="1"/>
  <c r="O36"/>
  <c r="O35"/>
  <c r="O33"/>
  <c r="O32"/>
  <c r="O34"/>
  <c r="O2" l="1"/>
  <c r="O357"/>
</calcChain>
</file>

<file path=xl/sharedStrings.xml><?xml version="1.0" encoding="utf-8"?>
<sst xmlns="http://schemas.openxmlformats.org/spreadsheetml/2006/main" count="2144" uniqueCount="820">
  <si>
    <t>Amortisationsrechner für Produktionsmagie</t>
  </si>
  <si>
    <t>Ressource</t>
  </si>
  <si>
    <t>Erz</t>
  </si>
  <si>
    <t>Gold</t>
  </si>
  <si>
    <t>Holz</t>
  </si>
  <si>
    <t>Nahrung</t>
  </si>
  <si>
    <t>Silber</t>
  </si>
  <si>
    <t>Prod/Tick</t>
  </si>
  <si>
    <t>Anzahl S1</t>
  </si>
  <si>
    <t>Anzahl S2</t>
  </si>
  <si>
    <t>Summe Anz.</t>
  </si>
  <si>
    <t>Boni</t>
  </si>
  <si>
    <t>Akkord</t>
  </si>
  <si>
    <t>Kosten nächste Stufe</t>
  </si>
  <si>
    <t>Bonus Ress/Tick</t>
  </si>
  <si>
    <t>Ticks bis Amortisation</t>
  </si>
  <si>
    <t>Dauer [Tage]</t>
  </si>
  <si>
    <t>Alchemie</t>
  </si>
  <si>
    <t>Manawald</t>
  </si>
  <si>
    <t>Sklaverei</t>
  </si>
  <si>
    <t>Wetterkontrolle</t>
  </si>
  <si>
    <t>Rohstoffwertigkeit</t>
  </si>
  <si>
    <t>Goldwert</t>
  </si>
  <si>
    <t>Kosten</t>
  </si>
  <si>
    <t xml:space="preserve">Bonus Ress/Tick </t>
  </si>
  <si>
    <t>Tage</t>
  </si>
  <si>
    <t>PALAST</t>
  </si>
  <si>
    <t>Anzahl S3</t>
  </si>
  <si>
    <t>Kosten nächste Stufe
 (pro Person)</t>
  </si>
  <si>
    <t>Anzahl Gruppenmitglieder</t>
  </si>
  <si>
    <t>AP</t>
  </si>
  <si>
    <t>VP</t>
  </si>
  <si>
    <t>HP</t>
  </si>
  <si>
    <t>Giftlaus</t>
  </si>
  <si>
    <t>Anzahl</t>
  </si>
  <si>
    <t>Kobold</t>
  </si>
  <si>
    <t>Unhold</t>
  </si>
  <si>
    <t>Axtwerfer</t>
  </si>
  <si>
    <t>Ork</t>
  </si>
  <si>
    <t>Zwerg</t>
  </si>
  <si>
    <t>Waldriese</t>
  </si>
  <si>
    <t>Elf</t>
  </si>
  <si>
    <t>Abtrünniger</t>
  </si>
  <si>
    <t>Eisharpyie</t>
  </si>
  <si>
    <t>Krallenspringer</t>
  </si>
  <si>
    <t>Vampir</t>
  </si>
  <si>
    <t>Killermull</t>
  </si>
  <si>
    <t>Feuerspinne</t>
  </si>
  <si>
    <t>Nephilim</t>
  </si>
  <si>
    <t>Beobachter</t>
  </si>
  <si>
    <t>Hydra</t>
  </si>
  <si>
    <t>Chaosdrache</t>
  </si>
  <si>
    <t>Siriusfalke</t>
  </si>
  <si>
    <t>Gipfeldruide</t>
  </si>
  <si>
    <t>Mumie</t>
  </si>
  <si>
    <t>Namenloser</t>
  </si>
  <si>
    <t>Kopfgeld</t>
  </si>
  <si>
    <t>Elior</t>
  </si>
  <si>
    <t>Drachenjäger</t>
  </si>
  <si>
    <t>Stufe</t>
  </si>
  <si>
    <t>Avatar</t>
  </si>
  <si>
    <t>MP</t>
  </si>
  <si>
    <t>TP</t>
  </si>
  <si>
    <t>Eiswyrm</t>
  </si>
  <si>
    <t>Erzengel</t>
  </si>
  <si>
    <t>Ifrit</t>
  </si>
  <si>
    <t>Skelettkrieger</t>
  </si>
  <si>
    <t>Späher</t>
  </si>
  <si>
    <t>Tyr</t>
  </si>
  <si>
    <t>Spezial</t>
  </si>
  <si>
    <t>Zauber</t>
  </si>
  <si>
    <t>Erdlaus</t>
  </si>
  <si>
    <t>fette Giftlaus</t>
  </si>
  <si>
    <t>Feuerlaus</t>
  </si>
  <si>
    <t>Frostlaus</t>
  </si>
  <si>
    <t>Lausling</t>
  </si>
  <si>
    <t>  </t>
  </si>
  <si>
    <t>Windlaus</t>
  </si>
  <si>
    <t>explodierende Laus</t>
  </si>
  <si>
    <t>   </t>
  </si>
  <si>
    <t>Gewitterlaus</t>
  </si>
  <si>
    <t>Blitz</t>
  </si>
  <si>
    <t>Mecha-Insektoid</t>
  </si>
  <si>
    <t>schwarze Wanze</t>
  </si>
  <si>
    <t>heiliger Skarabäus</t>
  </si>
  <si>
    <t>Schattenlaus</t>
  </si>
  <si>
    <t>Echnatons Avatar</t>
  </si>
  <si>
    <t>Baumfäller</t>
  </si>
  <si>
    <t>Doppelaxtwerfer</t>
  </si>
  <si>
    <t>verdammte Axt</t>
  </si>
  <si>
    <t>Axtjongleur</t>
  </si>
  <si>
    <t>Axtmörder</t>
  </si>
  <si>
    <t>    </t>
  </si>
  <si>
    <t>Hassender</t>
  </si>
  <si>
    <t>Koboldprinz</t>
  </si>
  <si>
    <t>Rohbold</t>
  </si>
  <si>
    <t>Schildträger</t>
  </si>
  <si>
    <t>tanzender Kobold</t>
  </si>
  <si>
    <t>wilder Schläger</t>
  </si>
  <si>
    <t>blinder Koboldschamane</t>
  </si>
  <si>
    <t>Kampfeslust</t>
  </si>
  <si>
    <t>Erdnuckel</t>
  </si>
  <si>
    <t>Infernokobold</t>
  </si>
  <si>
    <t>rastloser Knilch</t>
  </si>
  <si>
    <t>Koboldreiter</t>
  </si>
  <si>
    <t>Maladator</t>
  </si>
  <si>
    <t>Harus der Grausame</t>
  </si>
  <si>
    <t>Lepraschaum</t>
  </si>
  <si>
    <t>Grabkriecher</t>
  </si>
  <si>
    <t>Brandpfeil</t>
  </si>
  <si>
    <t>garstiger Unhold</t>
  </si>
  <si>
    <t>Wächter der Stille</t>
  </si>
  <si>
    <t>Eiseskälte</t>
  </si>
  <si>
    <t>Schatten der Vergangenheit</t>
  </si>
  <si>
    <t>Feuersturm</t>
  </si>
  <si>
    <t>Deserteur</t>
  </si>
  <si>
    <t>feister Stalljunge</t>
  </si>
  <si>
    <t>Sensenschwinger</t>
  </si>
  <si>
    <t>untoter Bauer</t>
  </si>
  <si>
    <t>Unwilliger</t>
  </si>
  <si>
    <t>verhasster Bauer</t>
  </si>
  <si>
    <t>Bauer der roten Ernte</t>
  </si>
  <si>
    <t>Dämonenjäger</t>
  </si>
  <si>
    <t>verdrehter Mörder</t>
  </si>
  <si>
    <t>verstoßener Priester</t>
  </si>
  <si>
    <t>Leid</t>
  </si>
  <si>
    <t>Jack Bauer</t>
  </si>
  <si>
    <t>Roter Baron</t>
  </si>
  <si>
    <t>Kermak der Richter</t>
  </si>
  <si>
    <t>flinker Ork</t>
  </si>
  <si>
    <t>Grabräuber</t>
  </si>
  <si>
    <t>infizierter Ork</t>
  </si>
  <si>
    <t>orkischer Schildträger</t>
  </si>
  <si>
    <t>Sandork</t>
  </si>
  <si>
    <t>wütender Axtwerfer</t>
  </si>
  <si>
    <t>Gimlam</t>
  </si>
  <si>
    <t>Orkenhund</t>
  </si>
  <si>
    <t>orkischer Feuerschütze</t>
  </si>
  <si>
    <t>verdorbener Ork</t>
  </si>
  <si>
    <t>Gromsch der Drachentöter</t>
  </si>
  <si>
    <t>Orkenheld</t>
  </si>
  <si>
    <t>Kalim Argosh</t>
  </si>
  <si>
    <t>brennender Heuler</t>
  </si>
  <si>
    <t>Fresser</t>
  </si>
  <si>
    <t>Nestschützer</t>
  </si>
  <si>
    <t>Rudelsucher</t>
  </si>
  <si>
    <t>Varsillenwolf</t>
  </si>
  <si>
    <t>wilder Hund</t>
  </si>
  <si>
    <t>Druidenhüter</t>
  </si>
  <si>
    <t>Fleischwolf</t>
  </si>
  <si>
    <t>geisterhafter Wolf</t>
  </si>
  <si>
    <t>kräftiger Wolf</t>
  </si>
  <si>
    <t>Gurasul</t>
  </si>
  <si>
    <t>Wolfsmutter</t>
  </si>
  <si>
    <t>Das Pack</t>
  </si>
  <si>
    <t>Bärtiger</t>
  </si>
  <si>
    <t>Eiszapfenkanone</t>
  </si>
  <si>
    <t>Feuerwerg</t>
  </si>
  <si>
    <t>lahmer Alter</t>
  </si>
  <si>
    <t>Zwergenbeserker</t>
  </si>
  <si>
    <t>Zwergenkrieger</t>
  </si>
  <si>
    <t>Beilmeister</t>
  </si>
  <si>
    <t>mechanisches Geschütz</t>
  </si>
  <si>
    <t>Steinwerfer</t>
  </si>
  <si>
    <t>Zwerg vom Bierfest</t>
  </si>
  <si>
    <t>Trodar Wurfaxt</t>
  </si>
  <si>
    <t>Zwergenkatapult</t>
  </si>
  <si>
    <t>Gramek Platinklinge</t>
  </si>
  <si>
    <t>Erzürnter</t>
  </si>
  <si>
    <t>Dunkles Zehren</t>
  </si>
  <si>
    <t>kaltes Wesen</t>
  </si>
  <si>
    <t>Proll-tergeist</t>
  </si>
  <si>
    <t>Ruhestörer</t>
  </si>
  <si>
    <t>unruhiges Gespenst</t>
  </si>
  <si>
    <t>Wildfang</t>
  </si>
  <si>
    <t>blutdürstiger Recke</t>
  </si>
  <si>
    <t>Geist des Hausdrachen</t>
  </si>
  <si>
    <t>Schlachter</t>
  </si>
  <si>
    <t>Unterdrücker</t>
  </si>
  <si>
    <t>Kychus</t>
  </si>
  <si>
    <t>Spiritus Horror</t>
  </si>
  <si>
    <t>Akasha</t>
  </si>
  <si>
    <t>Dornenkrieger</t>
  </si>
  <si>
    <t>Gnomwerfer</t>
  </si>
  <si>
    <t>Grünling</t>
  </si>
  <si>
    <t>Titanenerbe</t>
  </si>
  <si>
    <t>Waldjäger</t>
  </si>
  <si>
    <t>Wipfelschwinger</t>
  </si>
  <si>
    <t>Astbrecher</t>
  </si>
  <si>
    <t>Protektor des Forstes</t>
  </si>
  <si>
    <t>Schlammbombe</t>
  </si>
  <si>
    <t>Trampel</t>
  </si>
  <si>
    <t>Waldgigant</t>
  </si>
  <si>
    <t>Baumbart</t>
  </si>
  <si>
    <t>Druidenrat</t>
  </si>
  <si>
    <t>Dornenkleid</t>
  </si>
  <si>
    <t>Oros Ekolm</t>
  </si>
  <si>
    <t>Chaoself</t>
  </si>
  <si>
    <t>Sonnengleiß</t>
  </si>
  <si>
    <t>Elfenpriester</t>
  </si>
  <si>
    <t>Sengende Kugel</t>
  </si>
  <si>
    <t>Feuerteufel</t>
  </si>
  <si>
    <t>Frostelf</t>
  </si>
  <si>
    <t>Frostnova</t>
  </si>
  <si>
    <t>Gelehrter</t>
  </si>
  <si>
    <t>Entwaffnung</t>
  </si>
  <si>
    <t>stabiler Elf</t>
  </si>
  <si>
    <t>Vision</t>
  </si>
  <si>
    <t>besessener Elf</t>
  </si>
  <si>
    <t>Energieball</t>
  </si>
  <si>
    <t>elfischer Phönixkrieger</t>
  </si>
  <si>
    <t>elfischer Waldläufer</t>
  </si>
  <si>
    <t>Klingensänger</t>
  </si>
  <si>
    <t>Elorim Feuerpfeil</t>
  </si>
  <si>
    <t>Schattenelf</t>
  </si>
  <si>
    <t>Meteoritenschauer</t>
  </si>
  <si>
    <t>Elara Dämonenpfeil</t>
  </si>
  <si>
    <t>brennender Rächer</t>
  </si>
  <si>
    <t>der Umgepolte</t>
  </si>
  <si>
    <t>Fallensteller</t>
  </si>
  <si>
    <t>Jäger</t>
  </si>
  <si>
    <t>Marodeur</t>
  </si>
  <si>
    <t>Veteran</t>
  </si>
  <si>
    <t>Drachenschlächter</t>
  </si>
  <si>
    <t>Gargoylefinder</t>
  </si>
  <si>
    <t>Hüter der Dämonen</t>
  </si>
  <si>
    <t>Wendigo</t>
  </si>
  <si>
    <t>Einzelgänger</t>
  </si>
  <si>
    <t>skrupelloser Anführer</t>
  </si>
  <si>
    <t>Woge des Hasses</t>
  </si>
  <si>
    <t>Vlad Dargmann</t>
  </si>
  <si>
    <t>Besessene</t>
  </si>
  <si>
    <t>fliegende Bestie</t>
  </si>
  <si>
    <t>Sukkubus</t>
  </si>
  <si>
    <t>Tochter des Eis</t>
  </si>
  <si>
    <t>Witwenmacherin</t>
  </si>
  <si>
    <t>Wolkenharpyie</t>
  </si>
  <si>
    <t>Charybdis</t>
  </si>
  <si>
    <t>Hasserfüllte Dämonin</t>
  </si>
  <si>
    <t>Lavawelle</t>
  </si>
  <si>
    <t>stille Schlächterin</t>
  </si>
  <si>
    <t>Verborgene</t>
  </si>
  <si>
    <t>Harpyienkönigin</t>
  </si>
  <si>
    <t>Blizzard</t>
  </si>
  <si>
    <t>Schicksalsengel</t>
  </si>
  <si>
    <t>Chastra Daemonis</t>
  </si>
  <si>
    <t>Krallenweitspringer</t>
  </si>
  <si>
    <t>Krallenschleuderer</t>
  </si>
  <si>
    <t>Kratzer</t>
  </si>
  <si>
    <t>Katzengriller</t>
  </si>
  <si>
    <t>Beseelter</t>
  </si>
  <si>
    <t>geplagte Seele</t>
  </si>
  <si>
    <t>Schänder</t>
  </si>
  <si>
    <t>Schlammblut</t>
  </si>
  <si>
    <t>Vampirkrieger</t>
  </si>
  <si>
    <t>Verteidiger der Kaste</t>
  </si>
  <si>
    <t>Blender</t>
  </si>
  <si>
    <t>Kundschafter</t>
  </si>
  <si>
    <t>Heiliger Schild</t>
  </si>
  <si>
    <t>Lister</t>
  </si>
  <si>
    <t>tollpatschiger Drachenvampir</t>
  </si>
  <si>
    <t>Blutschatten</t>
  </si>
  <si>
    <t>ehrwürdiger Vampir</t>
  </si>
  <si>
    <t>Erdspaltung</t>
  </si>
  <si>
    <t>Angelus</t>
  </si>
  <si>
    <t>Aschehaufen</t>
  </si>
  <si>
    <t>Diener der Flammen</t>
  </si>
  <si>
    <t>Erstarrter</t>
  </si>
  <si>
    <t>Gehörnter</t>
  </si>
  <si>
    <t>Magmagigant</t>
  </si>
  <si>
    <t>Magmakrieger</t>
  </si>
  <si>
    <t>Feuerspeier</t>
  </si>
  <si>
    <t>Lavadämon</t>
  </si>
  <si>
    <t>verstreute Asche</t>
  </si>
  <si>
    <t>Verteidiger des Kraters</t>
  </si>
  <si>
    <t>ewige Flamme</t>
  </si>
  <si>
    <t>Vulkanauswurf</t>
  </si>
  <si>
    <t>infernaler Entflammer</t>
  </si>
  <si>
    <t>Blindmull</t>
  </si>
  <si>
    <t>Mördermull</t>
  </si>
  <si>
    <t>Mullberserker</t>
  </si>
  <si>
    <t>Mullsoldat</t>
  </si>
  <si>
    <t>Speermull</t>
  </si>
  <si>
    <t>MOWL-wurf</t>
  </si>
  <si>
    <t>Mull des Nordens</t>
  </si>
  <si>
    <t>verrückter Gürtelmull</t>
  </si>
  <si>
    <t>wahnsinniger Killermull</t>
  </si>
  <si>
    <t>standhafter Mullmagus</t>
  </si>
  <si>
    <t>Urgestein</t>
  </si>
  <si>
    <t>Mullkönigin</t>
  </si>
  <si>
    <t>achtbeiniger Schrecken</t>
  </si>
  <si>
    <t>Glutspinner</t>
  </si>
  <si>
    <t>Köderkrabbler</t>
  </si>
  <si>
    <t>Netzspinner</t>
  </si>
  <si>
    <t>wilde Tarantel</t>
  </si>
  <si>
    <t>Höhlenspinne</t>
  </si>
  <si>
    <t>Magmaspinne</t>
  </si>
  <si>
    <t>Spiderpig</t>
  </si>
  <si>
    <t>Spuckspinne</t>
  </si>
  <si>
    <t>rote Witwe</t>
  </si>
  <si>
    <t>Webers Knecht</t>
  </si>
  <si>
    <t>Arachnida Omega</t>
  </si>
  <si>
    <t>Brutalo</t>
  </si>
  <si>
    <t>Brutalität</t>
  </si>
  <si>
    <t>Grauenvoller</t>
  </si>
  <si>
    <t>Gefallener</t>
  </si>
  <si>
    <t>Titanenfreund</t>
  </si>
  <si>
    <t>Göttersohn</t>
  </si>
  <si>
    <t>Göttliche Hand</t>
  </si>
  <si>
    <t>Halbblut</t>
  </si>
  <si>
    <t>     </t>
  </si>
  <si>
    <t>Draco</t>
  </si>
  <si>
    <t>wilder Drache</t>
  </si>
  <si>
    <t>wilder Eiswyrm</t>
  </si>
  <si>
    <t>wilder Felsdrache</t>
  </si>
  <si>
    <t>wilder Phönix</t>
  </si>
  <si>
    <t>wilder Thunderbird</t>
  </si>
  <si>
    <t>Flammenatem</t>
  </si>
  <si>
    <t>mystischer Drache</t>
  </si>
  <si>
    <t>Rhazzazor</t>
  </si>
  <si>
    <t>Tatzelwurm</t>
  </si>
  <si>
    <t>Chaosdrachenreiter</t>
  </si>
  <si>
    <t>Purpurdrache</t>
  </si>
  <si>
    <t>Königsdrache</t>
  </si>
  <si>
    <t>Geblendeter</t>
  </si>
  <si>
    <t>Späher anderer Welten</t>
  </si>
  <si>
    <t>Vereitler</t>
  </si>
  <si>
    <t>Glubschi</t>
  </si>
  <si>
    <t>Skylla</t>
  </si>
  <si>
    <t>Eiterauge</t>
  </si>
  <si>
    <t>Magischer Wall</t>
  </si>
  <si>
    <t>fliegendes Auge</t>
  </si>
  <si>
    <t>Weltenwind</t>
  </si>
  <si>
    <t>Monitor</t>
  </si>
  <si>
    <t>Karkinos</t>
  </si>
  <si>
    <t>Lernäische Schlange</t>
  </si>
  <si>
    <t>Neunköpfige</t>
  </si>
  <si>
    <t>Drachenkopfchimäre</t>
  </si>
  <si>
    <t>Siriusgleiter</t>
  </si>
  <si>
    <t>Twister</t>
  </si>
  <si>
    <t>Druidenkämpfer</t>
  </si>
  <si>
    <t>Druidenältester</t>
  </si>
  <si>
    <t>Zaubertrankbrauer</t>
  </si>
  <si>
    <t>Porry Hatter</t>
  </si>
  <si>
    <t>Grabwächter</t>
  </si>
  <si>
    <t>Hohepriester der Verderbnis</t>
  </si>
  <si>
    <t>Rost</t>
  </si>
  <si>
    <t>Schiefgewickelter</t>
  </si>
  <si>
    <t>brennende Mumie</t>
  </si>
  <si>
    <t>Riesenmumie</t>
  </si>
  <si>
    <t>Wiedergänger</t>
  </si>
  <si>
    <t>Diener Sets</t>
  </si>
  <si>
    <t>Inkarnation von Horus</t>
  </si>
  <si>
    <t>Anonymus</t>
  </si>
  <si>
    <t>namenloses Grauen</t>
  </si>
  <si>
    <t>verzehrende Flamme</t>
  </si>
  <si>
    <t>Formloser</t>
  </si>
  <si>
    <t>Gesichtsloser</t>
  </si>
  <si>
    <t>Nobody</t>
  </si>
  <si>
    <t>Weltenverschlinger</t>
  </si>
  <si>
    <t>Nameless</t>
  </si>
  <si>
    <t>Kaserne</t>
  </si>
  <si>
    <t>KP</t>
  </si>
  <si>
    <t>Friedhof</t>
  </si>
  <si>
    <t>Schattenportal</t>
  </si>
  <si>
    <t>Drachenhof</t>
  </si>
  <si>
    <t>Tempel</t>
  </si>
  <si>
    <t>Einheit</t>
  </si>
  <si>
    <t>Kreuzritter</t>
  </si>
  <si>
    <t>Lich</t>
  </si>
  <si>
    <t>Phönix</t>
  </si>
  <si>
    <t>Brennende Hände</t>
  </si>
  <si>
    <t>Magier</t>
  </si>
  <si>
    <t>Daily Quests</t>
  </si>
  <si>
    <t>Chimaira</t>
  </si>
  <si>
    <t>MUK</t>
  </si>
  <si>
    <t>Thurse</t>
  </si>
  <si>
    <t>Jötun</t>
  </si>
  <si>
    <t>Kostchtchie</t>
  </si>
  <si>
    <t>Daktyle</t>
  </si>
  <si>
    <t>Teufel</t>
  </si>
  <si>
    <t>Knochendrache</t>
  </si>
  <si>
    <t>Cerberus</t>
  </si>
  <si>
    <t>Typ</t>
  </si>
  <si>
    <t>Tier</t>
  </si>
  <si>
    <t>Maschine</t>
  </si>
  <si>
    <t>Geist</t>
  </si>
  <si>
    <t>Mensch</t>
  </si>
  <si>
    <t>Untot</t>
  </si>
  <si>
    <t>Dämon</t>
  </si>
  <si>
    <t>Drache</t>
  </si>
  <si>
    <t>Elementar</t>
  </si>
  <si>
    <t xml:space="preserve">König </t>
  </si>
  <si>
    <t>Bauer</t>
  </si>
  <si>
    <t>Wolf</t>
  </si>
  <si>
    <t>Mono-Effizienz</t>
  </si>
  <si>
    <t>Ress</t>
  </si>
  <si>
    <t>MW</t>
  </si>
  <si>
    <t>Akk</t>
  </si>
  <si>
    <t>Alc</t>
  </si>
  <si>
    <t>Skl</t>
  </si>
  <si>
    <t>WK</t>
  </si>
  <si>
    <t>Pal</t>
  </si>
  <si>
    <t>Σ</t>
  </si>
  <si>
    <t>Prod/
(Tick*Mine)</t>
  </si>
  <si>
    <t>Gott</t>
  </si>
  <si>
    <t>Menge</t>
  </si>
  <si>
    <t>Mana</t>
  </si>
  <si>
    <t>Gold (s)</t>
  </si>
  <si>
    <t>Holz (s)</t>
  </si>
  <si>
    <t>Silber (s)</t>
  </si>
  <si>
    <t>Nahrung (s)</t>
  </si>
  <si>
    <t>Erz (s)</t>
  </si>
  <si>
    <t>Holz (l)</t>
  </si>
  <si>
    <t>Silber (l)</t>
  </si>
  <si>
    <t>Nahrung (l)</t>
  </si>
  <si>
    <t>Gold (l)</t>
  </si>
  <si>
    <t>Erz (l)</t>
  </si>
  <si>
    <t>Avg. HP</t>
  </si>
  <si>
    <t>NDS</t>
  </si>
  <si>
    <t>S1</t>
  </si>
  <si>
    <t>S2</t>
  </si>
  <si>
    <t>Heilung</t>
  </si>
  <si>
    <t>Untote heilen</t>
  </si>
  <si>
    <t>Heilkosten neu [Gold]</t>
  </si>
  <si>
    <t>Transporter</t>
  </si>
  <si>
    <t>Türme</t>
  </si>
  <si>
    <t>Level</t>
  </si>
  <si>
    <t>Delta</t>
  </si>
  <si>
    <t>Base</t>
  </si>
  <si>
    <t>Forschung</t>
  </si>
  <si>
    <t>Kreaturenmagie</t>
  </si>
  <si>
    <t>Brennendes Blut</t>
  </si>
  <si>
    <t>Bonus</t>
  </si>
  <si>
    <t>Steinhaut</t>
  </si>
  <si>
    <t>Drachenhaut</t>
  </si>
  <si>
    <t>Drachenwut</t>
  </si>
  <si>
    <t>Dunkles Omen</t>
  </si>
  <si>
    <t>Geisterrüstung</t>
  </si>
  <si>
    <t>Höllenaura</t>
  </si>
  <si>
    <t>Verrotten</t>
  </si>
  <si>
    <t>Energiefocus</t>
  </si>
  <si>
    <t>Götterschild</t>
  </si>
  <si>
    <t>Heiliger Ritus</t>
  </si>
  <si>
    <t>Meditation</t>
  </si>
  <si>
    <t>Taktikzentrum</t>
  </si>
  <si>
    <t>Hospital</t>
  </si>
  <si>
    <t>Gruppenstraße</t>
  </si>
  <si>
    <t>Schmiedekunst</t>
  </si>
  <si>
    <t>Titan</t>
  </si>
  <si>
    <t>15 LP</t>
  </si>
  <si>
    <t>HP Avg</t>
  </si>
  <si>
    <t>Wappen</t>
  </si>
  <si>
    <t>Haupthaus</t>
  </si>
  <si>
    <t>Bonusminen</t>
  </si>
  <si>
    <r>
      <rPr>
        <sz val="11"/>
        <color theme="1"/>
        <rFont val="Calibri"/>
        <family val="2"/>
      </rPr>
      <t xml:space="preserve">Σ </t>
    </r>
    <r>
      <rPr>
        <sz val="11"/>
        <color theme="1"/>
        <rFont val="Calibri"/>
        <family val="2"/>
        <scheme val="minor"/>
      </rPr>
      <t>Boni</t>
    </r>
  </si>
  <si>
    <t>Palast</t>
  </si>
  <si>
    <t>Gottbonus</t>
  </si>
  <si>
    <t>Forschungskosten nächste Stufe</t>
  </si>
  <si>
    <t>Verbesserung auf nächster Stufe</t>
  </si>
  <si>
    <t>Heilkosten (aktuelle Stufe)</t>
  </si>
  <si>
    <t>Heilkosten (nächste Stufe)</t>
  </si>
  <si>
    <t>aktuelle Heilkosten 
pro MJ (aus Heilung)</t>
  </si>
  <si>
    <t>akt. Heilkosten pro MJ</t>
  </si>
  <si>
    <t>(aus Untote heilen)</t>
  </si>
  <si>
    <t>Dauer [MJs]</t>
  </si>
  <si>
    <t>Ersparnis pro MJ [Gold]</t>
  </si>
  <si>
    <t>Die Rohstoffwertigkeiten sind aus dem Handel abzuleiten (siehe Bild)</t>
  </si>
  <si>
    <t>Wie lange würde es dauern, bis sich das nächste Haupthaus refinanziert hätte?</t>
  </si>
  <si>
    <t>Gruppenzauber-Effizient</t>
  </si>
  <si>
    <t>Manakosten</t>
  </si>
  <si>
    <t>Menge /</t>
  </si>
  <si>
    <t>E</t>
  </si>
  <si>
    <t>G</t>
  </si>
  <si>
    <t>H</t>
  </si>
  <si>
    <t>N</t>
  </si>
  <si>
    <t>S</t>
  </si>
  <si>
    <t>Forschungskostenrechner</t>
  </si>
  <si>
    <t>Optimiertes Bauen</t>
  </si>
  <si>
    <t>Produktionsmagie</t>
  </si>
  <si>
    <t>Basiskosten</t>
  </si>
  <si>
    <t>Bibliothekstufe:</t>
  </si>
  <si>
    <t>Beschwörungen</t>
  </si>
  <si>
    <t>Drachenmagie</t>
  </si>
  <si>
    <t>Nekromantie</t>
  </si>
  <si>
    <t>Zunftmagie</t>
  </si>
  <si>
    <t>∞</t>
  </si>
  <si>
    <t>Technik</t>
  </si>
  <si>
    <t>Architektur</t>
  </si>
  <si>
    <t>Instandsetzung</t>
  </si>
  <si>
    <t>Restauration</t>
  </si>
  <si>
    <t>Verbesserte Geschütze</t>
  </si>
  <si>
    <t>Verstärkte Mauern</t>
  </si>
  <si>
    <t>Wallmagie</t>
  </si>
  <si>
    <t>Zinnen und Scharten</t>
  </si>
  <si>
    <t>Formationen</t>
  </si>
  <si>
    <t>Gestaffelt</t>
  </si>
  <si>
    <t>Phalanx</t>
  </si>
  <si>
    <t>Taktische Fähigkeiten</t>
  </si>
  <si>
    <t>Fährtenlesen</t>
  </si>
  <si>
    <t>Truppen aufspüren</t>
  </si>
  <si>
    <t>Effizienz</t>
  </si>
  <si>
    <t>Holzkarren</t>
  </si>
  <si>
    <t>Verstärkter Holzkarren</t>
  </si>
  <si>
    <t>Gigantischer Holzkarren</t>
  </si>
  <si>
    <t>Holz- und Steinhandwerk</t>
  </si>
  <si>
    <t>Verstärkung</t>
  </si>
  <si>
    <t>Kriegsmagie</t>
  </si>
  <si>
    <t>Elementarmagie</t>
  </si>
  <si>
    <t>Magische Bindung</t>
  </si>
  <si>
    <t>Magische Grube</t>
  </si>
  <si>
    <t>Wirbel</t>
  </si>
  <si>
    <t>Tornado</t>
  </si>
  <si>
    <t>Regeneration</t>
  </si>
  <si>
    <t>Schwarze Magie</t>
  </si>
  <si>
    <t>Weiße Magie</t>
  </si>
  <si>
    <t>Hemmung</t>
  </si>
  <si>
    <t>Robustheit</t>
  </si>
  <si>
    <t>Sakrale Verteidigung</t>
  </si>
  <si>
    <t>Kobold -02</t>
  </si>
  <si>
    <t>Unhold -04</t>
  </si>
  <si>
    <t>Axtwerfer -03</t>
  </si>
  <si>
    <t>Giftlaus -01</t>
  </si>
  <si>
    <t>Ork -06</t>
  </si>
  <si>
    <t xml:space="preserve">Söldner </t>
  </si>
  <si>
    <t>Schwertkämpfer</t>
  </si>
  <si>
    <t>Pikenier</t>
  </si>
  <si>
    <t>V. Holzkarren</t>
  </si>
  <si>
    <t>G. Holzkarren</t>
  </si>
  <si>
    <t>Goldwert pro Wappen</t>
  </si>
  <si>
    <t>Bewohner</t>
  </si>
  <si>
    <t>GW pro Wappen (ca)</t>
  </si>
  <si>
    <t>Kleinvieh I -A</t>
  </si>
  <si>
    <t>Kleinvieh I -B</t>
  </si>
  <si>
    <t>Kleinvieh I -C</t>
  </si>
  <si>
    <t>Kleinvieh I -D</t>
  </si>
  <si>
    <t>Sonstiges</t>
  </si>
  <si>
    <t>Zeitvertreib -A</t>
  </si>
  <si>
    <t>Zeitvertreib -B</t>
  </si>
  <si>
    <t>Zeitvertreib -C</t>
  </si>
  <si>
    <t>Zeitvertreib -D</t>
  </si>
  <si>
    <t>Geisterstunde -A</t>
  </si>
  <si>
    <t>Geisterstunde -B</t>
  </si>
  <si>
    <t>Geisterstunde -C</t>
  </si>
  <si>
    <t>Geisterstunde -D</t>
  </si>
  <si>
    <t>Tierisch - A</t>
  </si>
  <si>
    <t>Tierisch - B</t>
  </si>
  <si>
    <t>Tierisch - C</t>
  </si>
  <si>
    <t>Tierisch - D</t>
  </si>
  <si>
    <t>Mensch - A</t>
  </si>
  <si>
    <t>Mensch - B</t>
  </si>
  <si>
    <t>Mensch - C</t>
  </si>
  <si>
    <t>Mensch - D</t>
  </si>
  <si>
    <t>Ghul</t>
  </si>
  <si>
    <t>Djinn</t>
  </si>
  <si>
    <t>Gnom</t>
  </si>
  <si>
    <t>Todesengel</t>
  </si>
  <si>
    <t>Wyvern</t>
  </si>
  <si>
    <t>Kappa</t>
  </si>
  <si>
    <t>KPG</t>
  </si>
  <si>
    <t>Alraune</t>
  </si>
  <si>
    <t>Zwiebelchen</t>
  </si>
  <si>
    <t>Ingwerknolle</t>
  </si>
  <si>
    <t>Kartoffelchen</t>
  </si>
  <si>
    <t>Mandragon</t>
  </si>
  <si>
    <t>Pflanze</t>
  </si>
  <si>
    <t>Wolfbändiger</t>
  </si>
  <si>
    <t>Wüstenschamane</t>
  </si>
  <si>
    <t>Totengräber</t>
  </si>
  <si>
    <t>Iratus</t>
  </si>
  <si>
    <t>Hüter der ersten Ebene</t>
  </si>
  <si>
    <t>Hüter der zweiten Ebene</t>
  </si>
  <si>
    <t>Hüter der dritten Ebene</t>
  </si>
  <si>
    <t>König der Tiefe</t>
  </si>
  <si>
    <t>Gnom4D</t>
  </si>
  <si>
    <t>AgroGnom</t>
  </si>
  <si>
    <t>Agnomalie</t>
  </si>
  <si>
    <t>KarziGnom</t>
  </si>
  <si>
    <t>Benu</t>
  </si>
  <si>
    <t>Bodenkriecher</t>
  </si>
  <si>
    <t>Menschenreiniger</t>
  </si>
  <si>
    <t>Flamme des Himmels</t>
  </si>
  <si>
    <t>Sonnenuntergang</t>
  </si>
  <si>
    <t>Dryade</t>
  </si>
  <si>
    <t>Aladdins Flaschengeist</t>
  </si>
  <si>
    <t>Salomons Späher</t>
  </si>
  <si>
    <t>Geist von Bruce Lee</t>
  </si>
  <si>
    <t>Faquarl von Sparta</t>
  </si>
  <si>
    <t>Woge des Hasse</t>
  </si>
  <si>
    <t>Lambda</t>
  </si>
  <si>
    <t>Omikron</t>
  </si>
  <si>
    <t>Omega</t>
  </si>
  <si>
    <t>Eichenkuschlerin</t>
  </si>
  <si>
    <t>Dryadenpriesterin</t>
  </si>
  <si>
    <t>Cosplaying Pikenier</t>
  </si>
  <si>
    <t>Eithne</t>
  </si>
  <si>
    <t>20x</t>
  </si>
  <si>
    <t>Todesbengel</t>
  </si>
  <si>
    <t>Todesmuggel</t>
  </si>
  <si>
    <t>EhrENGELeit</t>
  </si>
  <si>
    <t>ArbeitslosENGELd</t>
  </si>
  <si>
    <t xml:space="preserve">                       30x</t>
  </si>
  <si>
    <t>GHULasch</t>
  </si>
  <si>
    <t>IrreGHUlärer</t>
  </si>
  <si>
    <t>GroßmoGHUL</t>
  </si>
  <si>
    <t>ReGHULator</t>
  </si>
  <si>
    <t>Balrog</t>
  </si>
  <si>
    <t>Gorgone</t>
  </si>
  <si>
    <t>Balrock</t>
  </si>
  <si>
    <t>Kaltrog</t>
  </si>
  <si>
    <t>Luftiges Rögchen</t>
  </si>
  <si>
    <t>Flamme von Gudrun</t>
  </si>
  <si>
    <t>Gorgonzola</t>
  </si>
  <si>
    <t>Gorgzilla</t>
  </si>
  <si>
    <t>Demagorge</t>
  </si>
  <si>
    <t>Medusa</t>
  </si>
  <si>
    <t>Waschbär</t>
  </si>
  <si>
    <t>Apokalypse</t>
  </si>
  <si>
    <t>erz</t>
  </si>
  <si>
    <t>gold</t>
  </si>
  <si>
    <t>holz</t>
  </si>
  <si>
    <t>nahrung</t>
  </si>
  <si>
    <t>silber</t>
  </si>
  <si>
    <t>Hexenkunst</t>
  </si>
  <si>
    <t>Drachenherz</t>
  </si>
  <si>
    <t>Pendeln</t>
  </si>
  <si>
    <t>Spiritismus</t>
  </si>
  <si>
    <t>Voodoo</t>
  </si>
  <si>
    <t>Unbesiegbarkeit</t>
  </si>
  <si>
    <t>max Stufe</t>
  </si>
  <si>
    <t>Kosten für nächste Stufe</t>
  </si>
  <si>
    <t>Aktuelle Stufe</t>
  </si>
  <si>
    <t>Produktionsgebäude</t>
  </si>
  <si>
    <t>Goldminen</t>
  </si>
  <si>
    <t>Erzminen</t>
  </si>
  <si>
    <t>Sägewerke</t>
  </si>
  <si>
    <t>Farmen</t>
  </si>
  <si>
    <t>Silberminen</t>
  </si>
  <si>
    <t>S3</t>
  </si>
  <si>
    <t>∑</t>
  </si>
  <si>
    <t>Bibliothek</t>
  </si>
  <si>
    <t>Rabatt</t>
  </si>
  <si>
    <t>MJs</t>
  </si>
  <si>
    <t>Heilung Amortisation</t>
  </si>
  <si>
    <t>Untote heilen Amortisation</t>
  </si>
  <si>
    <t>aktuelle Heilkosten</t>
  </si>
  <si>
    <t>Heilzaubereffizienz</t>
  </si>
  <si>
    <t>-&gt; Die Tage / MJs, die es dauern würde, bis sich die nächste Stufe ausgezahlt hätte.</t>
  </si>
  <si>
    <r>
      <t xml:space="preserve">Bedienungsanleitung: </t>
    </r>
    <r>
      <rPr>
        <sz val="11"/>
        <rFont val="Calibri"/>
        <family val="2"/>
        <scheme val="minor"/>
      </rPr>
      <t>Gelb hinterlegte Felder</t>
    </r>
    <r>
      <rPr>
        <sz val="11"/>
        <color rgb="FFFF0000"/>
        <rFont val="Calibri"/>
        <family val="2"/>
        <scheme val="minor"/>
      </rPr>
      <t xml:space="preserve"> sind manuell anzugeben. </t>
    </r>
    <r>
      <rPr>
        <sz val="11"/>
        <rFont val="Calibri"/>
        <family val="2"/>
        <scheme val="minor"/>
      </rPr>
      <t>Grüne Felder</t>
    </r>
    <r>
      <rPr>
        <sz val="11"/>
        <color rgb="FFFF0000"/>
        <rFont val="Calibri"/>
        <family val="2"/>
        <scheme val="minor"/>
      </rPr>
      <t xml:space="preserve"> sind das Endergebnis.</t>
    </r>
  </si>
  <si>
    <t>verstoßener Bauer -05</t>
  </si>
  <si>
    <t>Alraunen -07</t>
  </si>
  <si>
    <t>tollwütiger Wolf -08</t>
  </si>
  <si>
    <t>Nekromant -09</t>
  </si>
  <si>
    <t>Zwerg -10</t>
  </si>
  <si>
    <t>Vulcaniden -11</t>
  </si>
  <si>
    <t>Poltergeist -12</t>
  </si>
  <si>
    <t>Waldriese -13</t>
  </si>
  <si>
    <t>Gnom -14</t>
  </si>
  <si>
    <t>Nachtelf -15</t>
  </si>
  <si>
    <t>Abtrünniger -16</t>
  </si>
  <si>
    <t>Benu -17</t>
  </si>
  <si>
    <t>Eisharpyie -18</t>
  </si>
  <si>
    <t>Djinn -19</t>
  </si>
  <si>
    <t>Krallenspringer -20</t>
  </si>
  <si>
    <t>Wyvern -21</t>
  </si>
  <si>
    <t>Vampir -22</t>
  </si>
  <si>
    <t>Magmadämon -23</t>
  </si>
  <si>
    <t>Killermull -24</t>
  </si>
  <si>
    <t>Feuerspinne -25</t>
  </si>
  <si>
    <t>Nephilim -26</t>
  </si>
  <si>
    <t>Kappa -27</t>
  </si>
  <si>
    <t>Dryade -28</t>
  </si>
  <si>
    <t>Chaosdrache -29</t>
  </si>
  <si>
    <t>Todesengel -30</t>
  </si>
  <si>
    <t>Beobachter -31</t>
  </si>
  <si>
    <t>Ghul -32</t>
  </si>
  <si>
    <t>Elior -33</t>
  </si>
  <si>
    <t>Hydra -34</t>
  </si>
  <si>
    <t>Balrog -35</t>
  </si>
  <si>
    <t>Gorgone -36</t>
  </si>
  <si>
    <t>Siriusfalke -37</t>
  </si>
  <si>
    <t>Gipfeldruide -38</t>
  </si>
  <si>
    <t>Mumie -39</t>
  </si>
  <si>
    <t>Namenloser -40</t>
  </si>
  <si>
    <t>Waschbär -41</t>
  </si>
  <si>
    <t>Apokalypse -42</t>
  </si>
  <si>
    <t>Gebäude Bauzeit Rechner</t>
  </si>
  <si>
    <t>Gebäude</t>
  </si>
  <si>
    <t>Speicher</t>
  </si>
  <si>
    <t>Verteidigung</t>
  </si>
  <si>
    <t>Hexenküche</t>
  </si>
  <si>
    <t>Schmiede</t>
  </si>
  <si>
    <t>Grunddauer</t>
  </si>
  <si>
    <t>Zeitfaktor</t>
  </si>
  <si>
    <t>Bauzeit</t>
  </si>
  <si>
    <t>Bauzeit brutto</t>
  </si>
  <si>
    <t>SP6</t>
  </si>
  <si>
    <t>SP7</t>
  </si>
  <si>
    <t>SP8</t>
  </si>
  <si>
    <t>[dd:hh:mm:ss]</t>
  </si>
  <si>
    <t>Gebäude Baukosten Rechner</t>
  </si>
  <si>
    <t>Level Rechner</t>
  </si>
  <si>
    <t>Normale Einheiten</t>
  </si>
  <si>
    <t>Rest</t>
  </si>
  <si>
    <t>Extraminen (max 20)</t>
  </si>
  <si>
    <t>Haupthaus S1</t>
  </si>
  <si>
    <t>Goldwert / Mana</t>
  </si>
  <si>
    <t>Opt. Bauen</t>
  </si>
  <si>
    <t>Baugeschw.</t>
  </si>
  <si>
    <t>Beschleunigung pro Stufe [%]</t>
  </si>
  <si>
    <t>Beschleunigung [%]</t>
  </si>
  <si>
    <t>Verteidigungsgrundlagen</t>
  </si>
  <si>
    <t>Festungstechnik</t>
  </si>
  <si>
    <t>Thunderbird</t>
  </si>
  <si>
    <t>Mithrilwerkzeug</t>
  </si>
  <si>
    <t>Bew. Alt</t>
  </si>
  <si>
    <t>Bew. Neu</t>
  </si>
  <si>
    <t>Ritualismus</t>
  </si>
  <si>
    <t>Monotheismus</t>
  </si>
  <si>
    <t>Körperbeherrschung</t>
  </si>
  <si>
    <t>Abhärtungstraining</t>
  </si>
  <si>
    <t>Ausdauertraining</t>
  </si>
  <si>
    <t>Muskeltraining</t>
  </si>
  <si>
    <t>Ballistik</t>
  </si>
  <si>
    <t>Statik</t>
  </si>
  <si>
    <t>Summe (neu)</t>
  </si>
  <si>
    <t>Summe (alt)</t>
  </si>
  <si>
    <t>flammende Theklar</t>
  </si>
  <si>
    <t>1000 AvEX</t>
  </si>
  <si>
    <t>Bauern (5)</t>
  </si>
  <si>
    <t>Abtrünnige (16)</t>
  </si>
  <si>
    <t>Todesengel (30)</t>
  </si>
  <si>
    <t>Giftlaus (1)</t>
  </si>
  <si>
    <t>Killermull (24)</t>
  </si>
  <si>
    <t>Hydra (34)</t>
  </si>
  <si>
    <t>Waschbären (41)</t>
  </si>
  <si>
    <t>wölfe (8)</t>
  </si>
  <si>
    <t>poltergeist (12)</t>
  </si>
  <si>
    <t>Zwerge (10)</t>
  </si>
  <si>
    <t>Mumien (39)</t>
  </si>
  <si>
    <t>Vampir (22)</t>
  </si>
  <si>
    <t>Haupthaus S2</t>
  </si>
  <si>
    <r>
      <rPr>
        <b/>
        <sz val="11"/>
        <color theme="1"/>
        <rFont val="Calibri"/>
        <family val="2"/>
        <scheme val="minor"/>
      </rPr>
      <t>Gott</t>
    </r>
    <r>
      <rPr>
        <sz val="11"/>
        <color theme="1"/>
        <rFont val="Calibri"/>
        <family val="2"/>
        <scheme val="minor"/>
      </rPr>
      <t xml:space="preserve"> (1=Erz, 2=Gold, 3 =Holz, 4=Nahrung, 5=Silber, 6=mix)</t>
    </r>
  </si>
  <si>
    <t>Bollwerk</t>
  </si>
  <si>
    <t>Opus caementitium</t>
  </si>
  <si>
    <t>Pyrotechnik</t>
  </si>
  <si>
    <t>Kas12</t>
  </si>
  <si>
    <t>Kas13</t>
  </si>
  <si>
    <t>erwarteter Schaden</t>
  </si>
  <si>
    <t>Anzahl der Ziele pro Runde</t>
  </si>
  <si>
    <t>Verteidiger:</t>
  </si>
  <si>
    <t>Angreifer:</t>
  </si>
  <si>
    <t>Schadensrechner</t>
  </si>
  <si>
    <t>min Roll</t>
  </si>
  <si>
    <t>max Roll</t>
  </si>
  <si>
    <t>min Crit</t>
  </si>
  <si>
    <t>max Crit</t>
  </si>
  <si>
    <t>Base Damage</t>
  </si>
  <si>
    <t>min</t>
  </si>
  <si>
    <t>max</t>
  </si>
  <si>
    <t>Schaden</t>
  </si>
  <si>
    <t>avg</t>
  </si>
  <si>
    <t>regulärer Schaden</t>
  </si>
  <si>
    <t>kritischer Treffer (4%)</t>
  </si>
  <si>
    <t>Nekro</t>
  </si>
  <si>
    <t>Vulc</t>
  </si>
  <si>
    <t>Polter</t>
  </si>
  <si>
    <t>Magma</t>
  </si>
  <si>
    <r>
      <t xml:space="preserve">Angreifer Bonus
</t>
    </r>
    <r>
      <rPr>
        <sz val="6"/>
        <color theme="1"/>
        <rFont val="Calibri"/>
        <family val="2"/>
        <scheme val="minor"/>
      </rPr>
      <t>(1 = Mensch, 2 = Untot, 
3 = Dämon, 4 = Drache, 
0 = kein)</t>
    </r>
  </si>
  <si>
    <t>Wyv Luft</t>
  </si>
  <si>
    <t>Wyv Erde</t>
  </si>
  <si>
    <t>Wyv Feuer</t>
  </si>
  <si>
    <t>Wyv Eis</t>
  </si>
  <si>
    <r>
      <t>Schaden an Monstern (</t>
    </r>
    <r>
      <rPr>
        <sz val="11"/>
        <color rgb="FFFF7C80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/ </t>
    </r>
    <r>
      <rPr>
        <sz val="11"/>
        <color rgb="FF92D050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>)</t>
    </r>
  </si>
  <si>
    <t>Zauberschaden</t>
  </si>
  <si>
    <t>Monster-OHKO-Rechner</t>
  </si>
  <si>
    <t>Anz. D. Ziele pro Runde</t>
  </si>
  <si>
    <r>
      <t xml:space="preserve">Fernkampf
</t>
    </r>
    <r>
      <rPr>
        <sz val="6"/>
        <color theme="1"/>
        <rFont val="Calibri"/>
        <family val="2"/>
        <scheme val="minor"/>
      </rPr>
      <t>(1 = JA, 0 = NEIN) 
Hinweis: Fernkampf MUK ist immer 1</t>
    </r>
  </si>
  <si>
    <r>
      <t xml:space="preserve">Angriffselement
</t>
    </r>
    <r>
      <rPr>
        <sz val="6"/>
        <color theme="1"/>
        <rFont val="Calibri"/>
        <family val="2"/>
        <scheme val="minor"/>
      </rPr>
      <t>(1 = Feuer, 2 = Eis,
3 = Luft, 4 = Erde
0 = keines)</t>
    </r>
  </si>
  <si>
    <r>
      <t xml:space="preserve">Angreifer Bonus
</t>
    </r>
    <r>
      <rPr>
        <sz val="6"/>
        <color theme="1"/>
        <rFont val="Calibri"/>
        <family val="2"/>
        <scheme val="minor"/>
      </rPr>
      <t>(1 = Mensch, 2 = Untot, 
3 = Dämon, 4 = Drache, 
0 = keiner)</t>
    </r>
  </si>
  <si>
    <t>BASE
DAMAGE</t>
  </si>
  <si>
    <t>DAMAGE
 (mit Boni)</t>
  </si>
  <si>
    <t>Overkill (Schaden/HP)</t>
  </si>
  <si>
    <t>Anz. Ziele pro Runde</t>
  </si>
  <si>
    <t>Einheitenwerterechner</t>
  </si>
  <si>
    <t>Bonus/Stufe</t>
  </si>
  <si>
    <t>Dämonen</t>
  </si>
  <si>
    <t>Drachen</t>
  </si>
  <si>
    <t>Untote</t>
  </si>
  <si>
    <t>Menschen</t>
  </si>
  <si>
    <t>Gruppe</t>
  </si>
  <si>
    <t>Felsdrache</t>
  </si>
  <si>
    <t>Spähturm</t>
  </si>
  <si>
    <t>Erdwall</t>
  </si>
  <si>
    <t>Schützenturm</t>
  </si>
  <si>
    <t>Angespitzer Holzpfahl</t>
  </si>
  <si>
    <t>Boxturm</t>
  </si>
  <si>
    <t>Steinmauer</t>
  </si>
  <si>
    <t>Turm</t>
  </si>
  <si>
    <t>mix</t>
  </si>
  <si>
    <t>Brutzeit</t>
  </si>
  <si>
    <t>Faktor</t>
  </si>
  <si>
    <t>Kosten-faktor</t>
  </si>
  <si>
    <t>Kirchturm I</t>
  </si>
  <si>
    <t>Schuldturm I</t>
  </si>
  <si>
    <t>Drachenturm I</t>
  </si>
  <si>
    <t>Magierturm (T1)</t>
  </si>
  <si>
    <t>Druidenbastion (T3)</t>
  </si>
  <si>
    <t>Engelsturm (T2)</t>
  </si>
  <si>
    <t>inkl. Boni</t>
  </si>
  <si>
    <t>Dämonenturm I</t>
  </si>
  <si>
    <t>Drachenwall (2x)</t>
  </si>
  <si>
    <t>Dämonenwall (2x)</t>
  </si>
  <si>
    <t>Kathedralturm (2x)</t>
  </si>
  <si>
    <t>Justizturm (2x)</t>
  </si>
  <si>
    <t>Bew. 2024</t>
  </si>
  <si>
    <t>Bew. 2025</t>
  </si>
  <si>
    <t>LMIR</t>
  </si>
  <si>
    <t>Gastfeindlichkeit</t>
  </si>
  <si>
    <t>Patriotismus</t>
  </si>
</sst>
</file>

<file path=xl/styles.xml><?xml version="1.0" encoding="utf-8"?>
<styleSheet xmlns="http://schemas.openxmlformats.org/spreadsheetml/2006/main">
  <numFmts count="7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  <numFmt numFmtId="166" formatCode="0.0%"/>
    <numFmt numFmtId="167" formatCode="0.000%"/>
    <numFmt numFmtId="168" formatCode="[h]:mm:ss;@"/>
    <numFmt numFmtId="169" formatCode="d:hh:mm:ss;@"/>
  </numFmts>
  <fonts count="4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Bell MT"/>
      <family val="1"/>
    </font>
    <font>
      <b/>
      <u/>
      <sz val="11"/>
      <color theme="3" tint="0.39997558519241921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  <font>
      <b/>
      <u/>
      <sz val="11"/>
      <color theme="9" tint="-0.249977111117893"/>
      <name val="Calibri"/>
      <family val="2"/>
      <scheme val="minor"/>
    </font>
    <font>
      <u/>
      <sz val="11"/>
      <color theme="9" tint="-0.249977111117893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u/>
      <sz val="11"/>
      <color theme="9" tint="-0.499984740745262"/>
      <name val="Calibri"/>
      <family val="2"/>
      <scheme val="minor"/>
    </font>
    <font>
      <u/>
      <sz val="11"/>
      <color theme="9" tint="-0.49998474074526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FF7C80"/>
      <name val="Calibri"/>
      <family val="2"/>
      <scheme val="minor"/>
    </font>
    <font>
      <sz val="8"/>
      <color rgb="FFFF7C80"/>
      <name val="Calibri"/>
      <family val="2"/>
      <scheme val="minor"/>
    </font>
    <font>
      <sz val="8"/>
      <color rgb="FF92D050"/>
      <name val="Calibri"/>
      <family val="2"/>
      <scheme val="minor"/>
    </font>
    <font>
      <sz val="10"/>
      <color rgb="FFFF7C80"/>
      <name val="Calibri"/>
      <family val="2"/>
      <scheme val="minor"/>
    </font>
    <font>
      <sz val="10"/>
      <color rgb="FF92D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99CCFF"/>
      <name val="Calibri"/>
      <family val="2"/>
      <scheme val="minor"/>
    </font>
    <font>
      <sz val="11"/>
      <color theme="6" tint="0.59999389629810485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23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0" fillId="3" borderId="1" xfId="0" applyFill="1" applyBorder="1"/>
    <xf numFmtId="164" fontId="0" fillId="0" borderId="0" xfId="0" applyNumberFormat="1"/>
    <xf numFmtId="164" fontId="1" fillId="0" borderId="1" xfId="0" applyNumberFormat="1" applyFont="1" applyBorder="1"/>
    <xf numFmtId="164" fontId="0" fillId="0" borderId="1" xfId="0" applyNumberForma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right"/>
    </xf>
    <xf numFmtId="0" fontId="6" fillId="0" borderId="0" xfId="0" applyFont="1" applyBorder="1"/>
    <xf numFmtId="0" fontId="1" fillId="0" borderId="2" xfId="0" applyFont="1" applyBorder="1"/>
    <xf numFmtId="0" fontId="7" fillId="0" borderId="8" xfId="0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165" fontId="0" fillId="0" borderId="0" xfId="1" applyNumberFormat="1" applyFont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0" fontId="0" fillId="0" borderId="13" xfId="0" applyBorder="1"/>
    <xf numFmtId="0" fontId="0" fillId="0" borderId="0" xfId="0" applyBorder="1"/>
    <xf numFmtId="0" fontId="0" fillId="0" borderId="5" xfId="0" applyBorder="1"/>
    <xf numFmtId="0" fontId="0" fillId="0" borderId="15" xfId="0" applyBorder="1"/>
    <xf numFmtId="0" fontId="8" fillId="0" borderId="0" xfId="0" applyFont="1"/>
    <xf numFmtId="0" fontId="11" fillId="0" borderId="0" xfId="0" applyFont="1"/>
    <xf numFmtId="165" fontId="0" fillId="0" borderId="0" xfId="0" applyNumberFormat="1"/>
    <xf numFmtId="0" fontId="7" fillId="0" borderId="16" xfId="0" applyFont="1" applyBorder="1"/>
    <xf numFmtId="0" fontId="7" fillId="0" borderId="9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2" xfId="0" applyFont="1" applyFill="1" applyBorder="1"/>
    <xf numFmtId="0" fontId="0" fillId="0" borderId="17" xfId="0" applyBorder="1"/>
    <xf numFmtId="0" fontId="6" fillId="0" borderId="10" xfId="0" applyFont="1" applyBorder="1"/>
    <xf numFmtId="0" fontId="6" fillId="0" borderId="11" xfId="0" applyFont="1" applyBorder="1"/>
    <xf numFmtId="165" fontId="0" fillId="0" borderId="10" xfId="1" applyNumberFormat="1" applyFont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0" fontId="0" fillId="0" borderId="12" xfId="0" applyBorder="1"/>
    <xf numFmtId="0" fontId="6" fillId="0" borderId="0" xfId="0" applyFont="1" applyBorder="1" applyAlignment="1">
      <alignment wrapText="1"/>
    </xf>
    <xf numFmtId="165" fontId="0" fillId="0" borderId="13" xfId="1" applyNumberFormat="1" applyFont="1" applyBorder="1"/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6" fillId="0" borderId="6" xfId="0" applyFont="1" applyBorder="1" applyAlignment="1">
      <alignment wrapText="1"/>
    </xf>
    <xf numFmtId="165" fontId="0" fillId="0" borderId="14" xfId="1" applyNumberFormat="1" applyFont="1" applyBorder="1"/>
    <xf numFmtId="0" fontId="0" fillId="0" borderId="7" xfId="0" applyBorder="1" applyAlignment="1">
      <alignment wrapText="1"/>
    </xf>
    <xf numFmtId="0" fontId="6" fillId="0" borderId="12" xfId="0" applyFont="1" applyBorder="1"/>
    <xf numFmtId="0" fontId="6" fillId="0" borderId="5" xfId="0" applyFont="1" applyBorder="1"/>
    <xf numFmtId="0" fontId="6" fillId="0" borderId="7" xfId="0" applyFont="1" applyBorder="1"/>
    <xf numFmtId="0" fontId="0" fillId="0" borderId="4" xfId="0" applyBorder="1" applyAlignment="1">
      <alignment wrapText="1"/>
    </xf>
    <xf numFmtId="0" fontId="0" fillId="0" borderId="7" xfId="0" applyBorder="1"/>
    <xf numFmtId="0" fontId="0" fillId="0" borderId="17" xfId="0" applyBorder="1" applyAlignment="1">
      <alignment wrapText="1"/>
    </xf>
    <xf numFmtId="0" fontId="0" fillId="0" borderId="3" xfId="0" applyBorder="1" applyAlignment="1"/>
    <xf numFmtId="3" fontId="6" fillId="0" borderId="6" xfId="0" applyNumberFormat="1" applyFont="1" applyBorder="1" applyAlignment="1">
      <alignment wrapText="1"/>
    </xf>
    <xf numFmtId="3" fontId="6" fillId="0" borderId="0" xfId="0" applyNumberFormat="1" applyFont="1" applyBorder="1" applyAlignment="1">
      <alignment wrapText="1"/>
    </xf>
    <xf numFmtId="0" fontId="0" fillId="0" borderId="9" xfId="0" applyBorder="1"/>
    <xf numFmtId="3" fontId="6" fillId="0" borderId="13" xfId="0" applyNumberFormat="1" applyFont="1" applyBorder="1" applyAlignment="1">
      <alignment wrapText="1"/>
    </xf>
    <xf numFmtId="3" fontId="6" fillId="0" borderId="14" xfId="0" applyNumberFormat="1" applyFont="1" applyBorder="1" applyAlignment="1">
      <alignment wrapText="1"/>
    </xf>
    <xf numFmtId="0" fontId="6" fillId="0" borderId="0" xfId="0" applyFont="1"/>
    <xf numFmtId="0" fontId="4" fillId="0" borderId="0" xfId="0" applyFont="1"/>
    <xf numFmtId="0" fontId="0" fillId="0" borderId="16" xfId="0" applyBorder="1"/>
    <xf numFmtId="0" fontId="0" fillId="0" borderId="8" xfId="0" applyBorder="1"/>
    <xf numFmtId="0" fontId="0" fillId="0" borderId="0" xfId="0" applyAlignment="1">
      <alignment horizontal="left"/>
    </xf>
    <xf numFmtId="3" fontId="6" fillId="0" borderId="10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" fillId="0" borderId="15" xfId="0" applyFont="1" applyBorder="1"/>
    <xf numFmtId="0" fontId="0" fillId="0" borderId="20" xfId="0" applyBorder="1"/>
    <xf numFmtId="0" fontId="0" fillId="0" borderId="1" xfId="0" applyBorder="1" applyAlignment="1"/>
    <xf numFmtId="0" fontId="0" fillId="0" borderId="22" xfId="0" applyBorder="1" applyAlignment="1"/>
    <xf numFmtId="0" fontId="0" fillId="0" borderId="21" xfId="0" applyBorder="1"/>
    <xf numFmtId="0" fontId="0" fillId="0" borderId="1" xfId="0" applyFill="1" applyBorder="1" applyAlignment="1"/>
    <xf numFmtId="0" fontId="0" fillId="0" borderId="0" xfId="0" applyFill="1"/>
    <xf numFmtId="0" fontId="0" fillId="0" borderId="0" xfId="0" applyFill="1" applyBorder="1"/>
    <xf numFmtId="0" fontId="6" fillId="0" borderId="13" xfId="0" applyFont="1" applyBorder="1"/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10" xfId="0" applyFont="1" applyFill="1" applyBorder="1"/>
    <xf numFmtId="0" fontId="6" fillId="0" borderId="11" xfId="0" applyFont="1" applyFill="1" applyBorder="1"/>
    <xf numFmtId="3" fontId="6" fillId="0" borderId="0" xfId="0" applyNumberFormat="1" applyFont="1" applyFill="1" applyBorder="1" applyAlignment="1">
      <alignment wrapText="1"/>
    </xf>
    <xf numFmtId="0" fontId="6" fillId="0" borderId="12" xfId="0" applyFont="1" applyFill="1" applyBorder="1"/>
    <xf numFmtId="3" fontId="6" fillId="0" borderId="6" xfId="0" applyNumberFormat="1" applyFont="1" applyFill="1" applyBorder="1" applyAlignment="1">
      <alignment wrapText="1"/>
    </xf>
    <xf numFmtId="3" fontId="6" fillId="0" borderId="11" xfId="0" applyNumberFormat="1" applyFont="1" applyFill="1" applyBorder="1" applyAlignment="1">
      <alignment wrapText="1"/>
    </xf>
    <xf numFmtId="3" fontId="6" fillId="0" borderId="13" xfId="0" applyNumberFormat="1" applyFont="1" applyFill="1" applyBorder="1" applyAlignment="1">
      <alignment wrapText="1"/>
    </xf>
    <xf numFmtId="3" fontId="6" fillId="0" borderId="14" xfId="0" applyNumberFormat="1" applyFont="1" applyFill="1" applyBorder="1" applyAlignment="1">
      <alignment wrapText="1"/>
    </xf>
    <xf numFmtId="0" fontId="8" fillId="0" borderId="11" xfId="0" applyFont="1" applyBorder="1"/>
    <xf numFmtId="0" fontId="8" fillId="0" borderId="6" xfId="0" applyFont="1" applyBorder="1"/>
    <xf numFmtId="0" fontId="13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165" fontId="0" fillId="0" borderId="9" xfId="0" applyNumberFormat="1" applyBorder="1"/>
    <xf numFmtId="0" fontId="0" fillId="0" borderId="0" xfId="0" applyAlignment="1"/>
    <xf numFmtId="0" fontId="13" fillId="0" borderId="0" xfId="0" applyFont="1" applyAlignment="1">
      <alignment wrapText="1"/>
    </xf>
    <xf numFmtId="2" fontId="13" fillId="0" borderId="0" xfId="0" applyNumberFormat="1" applyFont="1"/>
    <xf numFmtId="0" fontId="6" fillId="0" borderId="5" xfId="0" applyFont="1" applyBorder="1" applyAlignment="1">
      <alignment wrapText="1"/>
    </xf>
    <xf numFmtId="0" fontId="6" fillId="0" borderId="7" xfId="0" applyFont="1" applyBorder="1" applyAlignment="1">
      <alignment wrapText="1"/>
    </xf>
    <xf numFmtId="3" fontId="6" fillId="0" borderId="5" xfId="0" applyNumberFormat="1" applyFont="1" applyBorder="1" applyAlignment="1">
      <alignment wrapText="1"/>
    </xf>
    <xf numFmtId="3" fontId="6" fillId="0" borderId="7" xfId="0" applyNumberFormat="1" applyFont="1" applyBorder="1" applyAlignment="1">
      <alignment wrapText="1"/>
    </xf>
    <xf numFmtId="3" fontId="6" fillId="0" borderId="5" xfId="0" applyNumberFormat="1" applyFont="1" applyFill="1" applyBorder="1" applyAlignment="1">
      <alignment wrapText="1"/>
    </xf>
    <xf numFmtId="3" fontId="6" fillId="0" borderId="7" xfId="0" applyNumberFormat="1" applyFont="1" applyFill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7" fillId="0" borderId="0" xfId="0" applyFont="1"/>
    <xf numFmtId="0" fontId="13" fillId="0" borderId="0" xfId="0" applyFont="1" applyBorder="1"/>
    <xf numFmtId="0" fontId="0" fillId="0" borderId="6" xfId="0" applyBorder="1"/>
    <xf numFmtId="0" fontId="11" fillId="0" borderId="0" xfId="0" applyFont="1" applyBorder="1"/>
    <xf numFmtId="0" fontId="0" fillId="0" borderId="26" xfId="0" applyBorder="1"/>
    <xf numFmtId="0" fontId="0" fillId="0" borderId="28" xfId="0" applyBorder="1"/>
    <xf numFmtId="0" fontId="1" fillId="0" borderId="0" xfId="0" applyFont="1" applyFill="1" applyBorder="1"/>
    <xf numFmtId="164" fontId="2" fillId="0" borderId="15" xfId="0" applyNumberFormat="1" applyFont="1" applyBorder="1" applyAlignment="1"/>
    <xf numFmtId="1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0" fontId="13" fillId="0" borderId="0" xfId="0" applyFont="1" applyAlignment="1"/>
    <xf numFmtId="164" fontId="0" fillId="0" borderId="0" xfId="0" applyNumberFormat="1" applyBorder="1"/>
    <xf numFmtId="0" fontId="0" fillId="0" borderId="10" xfId="0" applyBorder="1"/>
    <xf numFmtId="0" fontId="0" fillId="0" borderId="11" xfId="0" applyBorder="1"/>
    <xf numFmtId="164" fontId="0" fillId="0" borderId="11" xfId="0" applyNumberFormat="1" applyBorder="1"/>
    <xf numFmtId="0" fontId="2" fillId="0" borderId="13" xfId="0" applyFont="1" applyBorder="1"/>
    <xf numFmtId="164" fontId="0" fillId="0" borderId="5" xfId="0" applyNumberFormat="1" applyBorder="1"/>
    <xf numFmtId="0" fontId="1" fillId="0" borderId="31" xfId="0" applyFont="1" applyBorder="1"/>
    <xf numFmtId="0" fontId="0" fillId="0" borderId="31" xfId="0" applyFill="1" applyBorder="1"/>
    <xf numFmtId="0" fontId="0" fillId="0" borderId="14" xfId="0" applyBorder="1"/>
    <xf numFmtId="164" fontId="0" fillId="0" borderId="6" xfId="0" applyNumberFormat="1" applyBorder="1"/>
    <xf numFmtId="0" fontId="0" fillId="0" borderId="0" xfId="0" applyBorder="1" applyAlignment="1">
      <alignment horizontal="right"/>
    </xf>
    <xf numFmtId="0" fontId="1" fillId="0" borderId="13" xfId="0" applyFont="1" applyBorder="1"/>
    <xf numFmtId="0" fontId="1" fillId="0" borderId="0" xfId="0" applyFont="1" applyBorder="1"/>
    <xf numFmtId="0" fontId="21" fillId="0" borderId="11" xfId="0" applyFont="1" applyBorder="1"/>
    <xf numFmtId="0" fontId="22" fillId="0" borderId="11" xfId="0" applyFont="1" applyBorder="1"/>
    <xf numFmtId="164" fontId="20" fillId="0" borderId="0" xfId="0" applyNumberFormat="1" applyFont="1" applyFill="1" applyBorder="1"/>
    <xf numFmtId="164" fontId="1" fillId="0" borderId="1" xfId="0" applyNumberFormat="1" applyFont="1" applyFill="1" applyBorder="1"/>
    <xf numFmtId="0" fontId="0" fillId="4" borderId="1" xfId="0" applyFill="1" applyBorder="1"/>
    <xf numFmtId="164" fontId="0" fillId="0" borderId="1" xfId="0" applyNumberFormat="1" applyFont="1" applyFill="1" applyBorder="1"/>
    <xf numFmtId="1" fontId="4" fillId="0" borderId="1" xfId="0" applyNumberFormat="1" applyFont="1" applyFill="1" applyBorder="1"/>
    <xf numFmtId="9" fontId="0" fillId="0" borderId="1" xfId="2" applyFont="1" applyBorder="1"/>
    <xf numFmtId="9" fontId="0" fillId="0" borderId="1" xfId="0" applyNumberFormat="1" applyBorder="1"/>
    <xf numFmtId="164" fontId="0" fillId="4" borderId="1" xfId="0" applyNumberFormat="1" applyFill="1" applyBorder="1"/>
    <xf numFmtId="0" fontId="22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18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1" fillId="0" borderId="15" xfId="0" applyFont="1" applyFill="1" applyBorder="1"/>
    <xf numFmtId="0" fontId="13" fillId="0" borderId="0" xfId="0" applyFont="1" applyAlignment="1">
      <alignment horizontal="center"/>
    </xf>
    <xf numFmtId="0" fontId="1" fillId="0" borderId="17" xfId="0" applyFont="1" applyFill="1" applyBorder="1"/>
    <xf numFmtId="0" fontId="11" fillId="0" borderId="13" xfId="0" applyFont="1" applyFill="1" applyBorder="1"/>
    <xf numFmtId="0" fontId="11" fillId="0" borderId="3" xfId="0" applyFont="1" applyFill="1" applyBorder="1"/>
    <xf numFmtId="0" fontId="10" fillId="0" borderId="13" xfId="0" applyFont="1" applyFill="1" applyBorder="1"/>
    <xf numFmtId="0" fontId="12" fillId="0" borderId="13" xfId="0" applyFont="1" applyFill="1" applyBorder="1"/>
    <xf numFmtId="0" fontId="9" fillId="0" borderId="14" xfId="0" applyFont="1" applyFill="1" applyBorder="1"/>
    <xf numFmtId="0" fontId="10" fillId="0" borderId="3" xfId="0" applyFont="1" applyFill="1" applyBorder="1"/>
    <xf numFmtId="0" fontId="12" fillId="0" borderId="3" xfId="0" applyFont="1" applyFill="1" applyBorder="1"/>
    <xf numFmtId="164" fontId="11" fillId="0" borderId="0" xfId="0" applyNumberFormat="1" applyFont="1"/>
    <xf numFmtId="164" fontId="4" fillId="0" borderId="0" xfId="0" applyNumberFormat="1" applyFont="1"/>
    <xf numFmtId="164" fontId="13" fillId="0" borderId="0" xfId="0" applyNumberFormat="1" applyFont="1"/>
    <xf numFmtId="1" fontId="13" fillId="0" borderId="0" xfId="0" applyNumberFormat="1" applyFont="1"/>
    <xf numFmtId="0" fontId="0" fillId="0" borderId="0" xfId="0" applyAlignment="1">
      <alignment horizontal="center" vertical="center"/>
    </xf>
    <xf numFmtId="165" fontId="11" fillId="0" borderId="0" xfId="1" applyNumberFormat="1" applyFont="1"/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9" fillId="0" borderId="13" xfId="0" applyFont="1" applyFill="1" applyBorder="1"/>
    <xf numFmtId="0" fontId="1" fillId="0" borderId="3" xfId="0" applyFont="1" applyFill="1" applyBorder="1"/>
    <xf numFmtId="0" fontId="0" fillId="0" borderId="12" xfId="0" applyBorder="1" applyAlignment="1">
      <alignment wrapText="1"/>
    </xf>
    <xf numFmtId="0" fontId="1" fillId="0" borderId="4" xfId="0" applyFont="1" applyFill="1" applyBorder="1"/>
    <xf numFmtId="0" fontId="9" fillId="0" borderId="3" xfId="0" applyFont="1" applyFill="1" applyBorder="1"/>
    <xf numFmtId="165" fontId="0" fillId="0" borderId="16" xfId="1" applyNumberFormat="1" applyFont="1" applyBorder="1"/>
    <xf numFmtId="165" fontId="0" fillId="0" borderId="9" xfId="1" applyNumberFormat="1" applyFont="1" applyBorder="1"/>
    <xf numFmtId="0" fontId="6" fillId="0" borderId="8" xfId="0" applyFont="1" applyBorder="1"/>
    <xf numFmtId="0" fontId="6" fillId="0" borderId="9" xfId="0" applyFont="1" applyBorder="1"/>
    <xf numFmtId="3" fontId="6" fillId="0" borderId="16" xfId="0" applyNumberFormat="1" applyFont="1" applyBorder="1" applyAlignment="1">
      <alignment wrapText="1"/>
    </xf>
    <xf numFmtId="3" fontId="6" fillId="0" borderId="8" xfId="0" applyNumberFormat="1" applyFont="1" applyBorder="1" applyAlignment="1">
      <alignment wrapText="1"/>
    </xf>
    <xf numFmtId="3" fontId="6" fillId="0" borderId="9" xfId="0" applyNumberFormat="1" applyFont="1" applyBorder="1" applyAlignment="1">
      <alignment wrapText="1"/>
    </xf>
    <xf numFmtId="0" fontId="32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6" borderId="1" xfId="0" applyFill="1" applyBorder="1"/>
    <xf numFmtId="0" fontId="20" fillId="0" borderId="13" xfId="0" applyFont="1" applyBorder="1"/>
    <xf numFmtId="0" fontId="19" fillId="0" borderId="0" xfId="0" applyFont="1"/>
    <xf numFmtId="0" fontId="0" fillId="0" borderId="30" xfId="0" applyBorder="1"/>
    <xf numFmtId="1" fontId="0" fillId="0" borderId="1" xfId="0" applyNumberFormat="1" applyFill="1" applyBorder="1"/>
    <xf numFmtId="1" fontId="0" fillId="0" borderId="0" xfId="0" applyNumberFormat="1" applyFill="1" applyBorder="1"/>
    <xf numFmtId="1" fontId="0" fillId="2" borderId="3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4" borderId="36" xfId="0" applyNumberFormat="1" applyFont="1" applyFill="1" applyBorder="1" applyAlignment="1">
      <alignment horizontal="center"/>
    </xf>
    <xf numFmtId="164" fontId="1" fillId="4" borderId="37" xfId="0" applyNumberFormat="1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9" fontId="0" fillId="0" borderId="0" xfId="2" applyFont="1" applyAlignment="1">
      <alignment horizontal="center"/>
    </xf>
    <xf numFmtId="0" fontId="0" fillId="0" borderId="38" xfId="0" applyBorder="1" applyAlignment="1"/>
    <xf numFmtId="0" fontId="0" fillId="0" borderId="23" xfId="0" applyBorder="1" applyAlignment="1"/>
    <xf numFmtId="0" fontId="3" fillId="0" borderId="0" xfId="0" applyFont="1" applyBorder="1"/>
    <xf numFmtId="0" fontId="0" fillId="0" borderId="5" xfId="0" applyBorder="1" applyAlignment="1"/>
    <xf numFmtId="165" fontId="0" fillId="0" borderId="5" xfId="1" applyNumberFormat="1" applyFont="1" applyBorder="1" applyAlignment="1"/>
    <xf numFmtId="0" fontId="2" fillId="0" borderId="0" xfId="0" applyFont="1" applyBorder="1"/>
    <xf numFmtId="0" fontId="1" fillId="0" borderId="1" xfId="0" applyFont="1" applyBorder="1" applyAlignment="1">
      <alignment horizontal="center"/>
    </xf>
    <xf numFmtId="0" fontId="19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Fill="1" applyAlignment="1">
      <alignment horizontal="right"/>
    </xf>
    <xf numFmtId="0" fontId="22" fillId="0" borderId="0" xfId="0" applyFont="1" applyBorder="1"/>
    <xf numFmtId="0" fontId="0" fillId="0" borderId="0" xfId="0" applyFill="1" applyAlignment="1">
      <alignment horizontal="right"/>
    </xf>
    <xf numFmtId="0" fontId="1" fillId="0" borderId="30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4" borderId="9" xfId="0" applyNumberFormat="1" applyFill="1" applyBorder="1" applyAlignment="1">
      <alignment horizontal="center"/>
    </xf>
    <xf numFmtId="1" fontId="0" fillId="4" borderId="1" xfId="0" applyNumberFormat="1" applyFill="1" applyBorder="1"/>
    <xf numFmtId="0" fontId="21" fillId="0" borderId="0" xfId="0" applyFont="1" applyBorder="1"/>
    <xf numFmtId="164" fontId="21" fillId="0" borderId="0" xfId="0" applyNumberFormat="1" applyFont="1"/>
    <xf numFmtId="165" fontId="0" fillId="0" borderId="1" xfId="1" applyNumberFormat="1" applyFont="1" applyBorder="1"/>
    <xf numFmtId="165" fontId="0" fillId="0" borderId="30" xfId="1" applyNumberFormat="1" applyFont="1" applyBorder="1"/>
    <xf numFmtId="165" fontId="0" fillId="4" borderId="2" xfId="1" applyNumberFormat="1" applyFont="1" applyFill="1" applyBorder="1"/>
    <xf numFmtId="49" fontId="34" fillId="0" borderId="0" xfId="0" applyNumberFormat="1" applyFont="1" applyAlignment="1"/>
    <xf numFmtId="168" fontId="0" fillId="0" borderId="0" xfId="0" applyNumberFormat="1"/>
    <xf numFmtId="0" fontId="35" fillId="0" borderId="0" xfId="0" applyFont="1" applyAlignment="1">
      <alignment horizontal="right"/>
    </xf>
    <xf numFmtId="0" fontId="36" fillId="0" borderId="0" xfId="0" applyFont="1"/>
    <xf numFmtId="0" fontId="8" fillId="0" borderId="0" xfId="0" applyFont="1" applyAlignment="1">
      <alignment horizontal="right"/>
    </xf>
    <xf numFmtId="0" fontId="8" fillId="0" borderId="8" xfId="0" applyFont="1" applyBorder="1"/>
    <xf numFmtId="168" fontId="8" fillId="0" borderId="11" xfId="0" applyNumberFormat="1" applyFont="1" applyBorder="1"/>
    <xf numFmtId="0" fontId="8" fillId="0" borderId="0" xfId="0" applyFont="1" applyBorder="1"/>
    <xf numFmtId="168" fontId="8" fillId="0" borderId="0" xfId="0" applyNumberFormat="1" applyFont="1" applyBorder="1"/>
    <xf numFmtId="168" fontId="8" fillId="0" borderId="6" xfId="0" applyNumberFormat="1" applyFont="1" applyBorder="1"/>
    <xf numFmtId="0" fontId="0" fillId="6" borderId="0" xfId="0" applyFill="1"/>
    <xf numFmtId="0" fontId="0" fillId="6" borderId="17" xfId="0" applyFill="1" applyBorder="1"/>
    <xf numFmtId="0" fontId="0" fillId="6" borderId="3" xfId="0" applyFill="1" applyBorder="1"/>
    <xf numFmtId="0" fontId="0" fillId="6" borderId="4" xfId="0" applyFill="1" applyBorder="1"/>
    <xf numFmtId="168" fontId="0" fillId="4" borderId="17" xfId="0" applyNumberFormat="1" applyFill="1" applyBorder="1"/>
    <xf numFmtId="168" fontId="0" fillId="4" borderId="3" xfId="0" applyNumberFormat="1" applyFill="1" applyBorder="1"/>
    <xf numFmtId="168" fontId="0" fillId="4" borderId="4" xfId="0" applyNumberFormat="1" applyFill="1" applyBorder="1"/>
    <xf numFmtId="169" fontId="0" fillId="4" borderId="2" xfId="0" applyNumberFormat="1" applyFill="1" applyBorder="1"/>
    <xf numFmtId="168" fontId="0" fillId="6" borderId="0" xfId="0" applyNumberFormat="1" applyFill="1"/>
    <xf numFmtId="0" fontId="0" fillId="0" borderId="10" xfId="0" applyBorder="1" applyAlignment="1">
      <alignment horizontal="center"/>
    </xf>
    <xf numFmtId="165" fontId="8" fillId="0" borderId="0" xfId="1" applyNumberFormat="1" applyFont="1"/>
    <xf numFmtId="164" fontId="8" fillId="0" borderId="0" xfId="0" applyNumberFormat="1" applyFont="1"/>
    <xf numFmtId="165" fontId="4" fillId="4" borderId="10" xfId="1" applyNumberFormat="1" applyFont="1" applyFill="1" applyBorder="1" applyAlignment="1">
      <alignment horizontal="right"/>
    </xf>
    <xf numFmtId="165" fontId="4" fillId="4" borderId="13" xfId="1" applyNumberFormat="1" applyFont="1" applyFill="1" applyBorder="1" applyAlignment="1">
      <alignment horizontal="right"/>
    </xf>
    <xf numFmtId="165" fontId="4" fillId="4" borderId="14" xfId="1" applyNumberFormat="1" applyFont="1" applyFill="1" applyBorder="1" applyAlignment="1">
      <alignment horizontal="right"/>
    </xf>
    <xf numFmtId="0" fontId="0" fillId="6" borderId="12" xfId="0" applyFill="1" applyBorder="1"/>
    <xf numFmtId="0" fontId="0" fillId="6" borderId="5" xfId="0" applyFill="1" applyBorder="1"/>
    <xf numFmtId="0" fontId="0" fillId="6" borderId="7" xfId="0" applyFill="1" applyBorder="1"/>
    <xf numFmtId="0" fontId="0" fillId="6" borderId="2" xfId="0" applyFill="1" applyBorder="1"/>
    <xf numFmtId="0" fontId="0" fillId="0" borderId="39" xfId="0" applyBorder="1" applyAlignment="1">
      <alignment horizontal="center"/>
    </xf>
    <xf numFmtId="0" fontId="0" fillId="6" borderId="40" xfId="0" applyFill="1" applyBorder="1" applyAlignment="1">
      <alignment horizontal="center"/>
    </xf>
    <xf numFmtId="1" fontId="0" fillId="4" borderId="34" xfId="0" applyNumberFormat="1" applyFill="1" applyBorder="1" applyAlignment="1">
      <alignment horizontal="center"/>
    </xf>
    <xf numFmtId="1" fontId="0" fillId="4" borderId="41" xfId="0" applyNumberForma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6" borderId="43" xfId="0" applyFill="1" applyBorder="1" applyAlignment="1">
      <alignment horizontal="center"/>
    </xf>
    <xf numFmtId="1" fontId="0" fillId="4" borderId="44" xfId="0" applyNumberFormat="1" applyFill="1" applyBorder="1" applyAlignment="1">
      <alignment horizontal="center"/>
    </xf>
    <xf numFmtId="1" fontId="0" fillId="4" borderId="45" xfId="0" applyNumberFormat="1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1" fontId="0" fillId="4" borderId="13" xfId="0" applyNumberFormat="1" applyFill="1" applyBorder="1" applyAlignment="1">
      <alignment horizontal="center"/>
    </xf>
    <xf numFmtId="1" fontId="0" fillId="4" borderId="14" xfId="0" applyNumberForma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6" borderId="47" xfId="0" applyFill="1" applyBorder="1" applyAlignment="1">
      <alignment horizontal="center"/>
    </xf>
    <xf numFmtId="1" fontId="0" fillId="4" borderId="20" xfId="0" applyNumberFormat="1" applyFill="1" applyBorder="1" applyAlignment="1">
      <alignment horizontal="center"/>
    </xf>
    <xf numFmtId="1" fontId="0" fillId="4" borderId="48" xfId="0" applyNumberForma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5" fontId="4" fillId="4" borderId="39" xfId="1" applyNumberFormat="1" applyFont="1" applyFill="1" applyBorder="1" applyAlignment="1">
      <alignment horizontal="right"/>
    </xf>
    <xf numFmtId="165" fontId="4" fillId="4" borderId="34" xfId="1" applyNumberFormat="1" applyFont="1" applyFill="1" applyBorder="1" applyAlignment="1">
      <alignment horizontal="right"/>
    </xf>
    <xf numFmtId="165" fontId="4" fillId="4" borderId="41" xfId="1" applyNumberFormat="1" applyFont="1" applyFill="1" applyBorder="1" applyAlignment="1">
      <alignment horizontal="right"/>
    </xf>
    <xf numFmtId="0" fontId="0" fillId="0" borderId="34" xfId="0" applyBorder="1"/>
    <xf numFmtId="165" fontId="4" fillId="4" borderId="46" xfId="1" applyNumberFormat="1" applyFont="1" applyFill="1" applyBorder="1" applyAlignment="1">
      <alignment horizontal="right"/>
    </xf>
    <xf numFmtId="165" fontId="4" fillId="4" borderId="20" xfId="1" applyNumberFormat="1" applyFont="1" applyFill="1" applyBorder="1" applyAlignment="1">
      <alignment horizontal="right"/>
    </xf>
    <xf numFmtId="165" fontId="4" fillId="4" borderId="48" xfId="1" applyNumberFormat="1" applyFont="1" applyFill="1" applyBorder="1" applyAlignment="1">
      <alignment horizontal="right"/>
    </xf>
    <xf numFmtId="0" fontId="0" fillId="0" borderId="44" xfId="0" applyBorder="1"/>
    <xf numFmtId="165" fontId="4" fillId="4" borderId="42" xfId="1" applyNumberFormat="1" applyFont="1" applyFill="1" applyBorder="1" applyAlignment="1">
      <alignment horizontal="right"/>
    </xf>
    <xf numFmtId="165" fontId="4" fillId="4" borderId="44" xfId="1" applyNumberFormat="1" applyFont="1" applyFill="1" applyBorder="1" applyAlignment="1">
      <alignment horizontal="right"/>
    </xf>
    <xf numFmtId="165" fontId="4" fillId="4" borderId="45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1" fontId="0" fillId="2" borderId="49" xfId="0" applyNumberFormat="1" applyFill="1" applyBorder="1" applyAlignment="1">
      <alignment horizontal="center"/>
    </xf>
    <xf numFmtId="165" fontId="0" fillId="0" borderId="0" xfId="1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9" fontId="0" fillId="4" borderId="1" xfId="2" applyFont="1" applyFill="1" applyBorder="1"/>
    <xf numFmtId="9" fontId="0" fillId="0" borderId="0" xfId="2" applyNumberFormat="1" applyFont="1"/>
    <xf numFmtId="9" fontId="0" fillId="4" borderId="2" xfId="2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Fill="1" applyBorder="1"/>
    <xf numFmtId="0" fontId="0" fillId="0" borderId="0" xfId="0" applyFont="1" applyFill="1"/>
    <xf numFmtId="0" fontId="11" fillId="0" borderId="20" xfId="0" applyFont="1" applyBorder="1"/>
    <xf numFmtId="0" fontId="11" fillId="0" borderId="30" xfId="0" applyFont="1" applyBorder="1"/>
    <xf numFmtId="0" fontId="13" fillId="0" borderId="30" xfId="0" applyFont="1" applyBorder="1"/>
    <xf numFmtId="0" fontId="13" fillId="0" borderId="20" xfId="0" applyFont="1" applyBorder="1"/>
    <xf numFmtId="0" fontId="13" fillId="0" borderId="21" xfId="0" applyFont="1" applyBorder="1"/>
    <xf numFmtId="0" fontId="11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21" xfId="0" applyFont="1" applyBorder="1"/>
    <xf numFmtId="0" fontId="38" fillId="0" borderId="1" xfId="0" applyFont="1" applyBorder="1"/>
    <xf numFmtId="0" fontId="8" fillId="0" borderId="1" xfId="0" applyFont="1" applyFill="1" applyBorder="1"/>
    <xf numFmtId="0" fontId="0" fillId="5" borderId="0" xfId="0" applyFill="1" applyAlignment="1">
      <alignment horizontal="right"/>
    </xf>
    <xf numFmtId="0" fontId="0" fillId="5" borderId="35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20" xfId="0" applyFill="1" applyBorder="1"/>
    <xf numFmtId="1" fontId="11" fillId="0" borderId="0" xfId="0" applyNumberFormat="1" applyFont="1"/>
    <xf numFmtId="1" fontId="11" fillId="0" borderId="1" xfId="0" applyNumberFormat="1" applyFont="1" applyBorder="1"/>
    <xf numFmtId="1" fontId="13" fillId="0" borderId="1" xfId="0" applyNumberFormat="1" applyFont="1" applyBorder="1"/>
    <xf numFmtId="1" fontId="6" fillId="0" borderId="5" xfId="0" applyNumberFormat="1" applyFont="1" applyBorder="1"/>
    <xf numFmtId="0" fontId="6" fillId="0" borderId="16" xfId="0" applyFont="1" applyBorder="1"/>
    <xf numFmtId="1" fontId="6" fillId="0" borderId="7" xfId="0" applyNumberFormat="1" applyFont="1" applyBorder="1"/>
    <xf numFmtId="0" fontId="8" fillId="0" borderId="15" xfId="0" applyFont="1" applyBorder="1"/>
    <xf numFmtId="0" fontId="37" fillId="0" borderId="0" xfId="0" applyFont="1"/>
    <xf numFmtId="0" fontId="0" fillId="6" borderId="17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26" xfId="0" applyBorder="1" applyAlignment="1">
      <alignment horizontal="right"/>
    </xf>
    <xf numFmtId="1" fontId="16" fillId="0" borderId="3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1" fontId="16" fillId="0" borderId="18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right"/>
    </xf>
    <xf numFmtId="1" fontId="16" fillId="0" borderId="19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right" wrapText="1"/>
    </xf>
    <xf numFmtId="0" fontId="16" fillId="0" borderId="23" xfId="0" applyFont="1" applyBorder="1" applyAlignment="1">
      <alignment horizontal="center" vertical="center"/>
    </xf>
    <xf numFmtId="0" fontId="36" fillId="0" borderId="0" xfId="0" applyFont="1" applyAlignment="1"/>
    <xf numFmtId="0" fontId="14" fillId="0" borderId="0" xfId="0" applyFont="1" applyBorder="1"/>
    <xf numFmtId="0" fontId="40" fillId="0" borderId="0" xfId="0" applyFont="1" applyBorder="1"/>
    <xf numFmtId="1" fontId="41" fillId="0" borderId="0" xfId="0" applyNumberFormat="1" applyFont="1" applyBorder="1"/>
    <xf numFmtId="0" fontId="41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1" fontId="41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5" fillId="0" borderId="19" xfId="0" applyFont="1" applyBorder="1" applyAlignment="1">
      <alignment horizontal="center"/>
    </xf>
    <xf numFmtId="1" fontId="15" fillId="0" borderId="18" xfId="0" applyNumberFormat="1" applyFont="1" applyBorder="1" applyAlignment="1">
      <alignment horizontal="center"/>
    </xf>
    <xf numFmtId="1" fontId="42" fillId="0" borderId="0" xfId="0" applyNumberFormat="1" applyFont="1" applyBorder="1" applyAlignment="1">
      <alignment horizontal="center"/>
    </xf>
    <xf numFmtId="1" fontId="43" fillId="0" borderId="18" xfId="0" applyNumberFormat="1" applyFont="1" applyBorder="1" applyAlignment="1">
      <alignment horizontal="center"/>
    </xf>
    <xf numFmtId="1" fontId="42" fillId="0" borderId="34" xfId="0" applyNumberFormat="1" applyFont="1" applyBorder="1" applyAlignment="1">
      <alignment horizontal="center"/>
    </xf>
    <xf numFmtId="1" fontId="41" fillId="0" borderId="15" xfId="0" applyNumberFormat="1" applyFon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15" fillId="0" borderId="19" xfId="0" applyNumberFormat="1" applyFont="1" applyBorder="1" applyAlignment="1">
      <alignment horizontal="center"/>
    </xf>
    <xf numFmtId="1" fontId="42" fillId="0" borderId="35" xfId="0" applyNumberFormat="1" applyFont="1" applyBorder="1" applyAlignment="1">
      <alignment horizontal="center"/>
    </xf>
    <xf numFmtId="1" fontId="43" fillId="0" borderId="19" xfId="0" applyNumberFormat="1" applyFont="1" applyBorder="1" applyAlignment="1">
      <alignment horizontal="center"/>
    </xf>
    <xf numFmtId="1" fontId="42" fillId="0" borderId="15" xfId="0" applyNumberFormat="1" applyFont="1" applyBorder="1" applyAlignment="1">
      <alignment horizontal="center"/>
    </xf>
    <xf numFmtId="2" fontId="44" fillId="0" borderId="34" xfId="0" applyNumberFormat="1" applyFont="1" applyBorder="1" applyAlignment="1">
      <alignment horizontal="center"/>
    </xf>
    <xf numFmtId="2" fontId="45" fillId="0" borderId="18" xfId="0" applyNumberFormat="1" applyFont="1" applyBorder="1" applyAlignment="1">
      <alignment horizontal="center"/>
    </xf>
    <xf numFmtId="2" fontId="44" fillId="0" borderId="0" xfId="0" applyNumberFormat="1" applyFont="1" applyBorder="1" applyAlignment="1">
      <alignment horizontal="center"/>
    </xf>
    <xf numFmtId="2" fontId="44" fillId="0" borderId="35" xfId="0" applyNumberFormat="1" applyFont="1" applyBorder="1" applyAlignment="1">
      <alignment horizontal="center"/>
    </xf>
    <xf numFmtId="2" fontId="45" fillId="0" borderId="19" xfId="0" applyNumberFormat="1" applyFont="1" applyBorder="1" applyAlignment="1">
      <alignment horizontal="center"/>
    </xf>
    <xf numFmtId="2" fontId="44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36" fillId="0" borderId="26" xfId="0" applyFont="1" applyBorder="1" applyAlignment="1"/>
    <xf numFmtId="1" fontId="36" fillId="0" borderId="0" xfId="0" applyNumberFormat="1" applyFont="1" applyBorder="1" applyAlignment="1">
      <alignment horizontal="center"/>
    </xf>
    <xf numFmtId="2" fontId="46" fillId="0" borderId="18" xfId="0" applyNumberFormat="1" applyFont="1" applyBorder="1" applyAlignment="1">
      <alignment horizontal="center"/>
    </xf>
    <xf numFmtId="2" fontId="46" fillId="0" borderId="19" xfId="0" applyNumberFormat="1" applyFont="1" applyBorder="1" applyAlignment="1">
      <alignment horizontal="center"/>
    </xf>
    <xf numFmtId="164" fontId="1" fillId="4" borderId="53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1" fillId="0" borderId="0" xfId="0" applyFont="1"/>
    <xf numFmtId="0" fontId="38" fillId="0" borderId="15" xfId="0" applyFont="1" applyBorder="1"/>
    <xf numFmtId="9" fontId="8" fillId="0" borderId="0" xfId="2" applyFont="1" applyBorder="1"/>
    <xf numFmtId="166" fontId="8" fillId="0" borderId="0" xfId="2" applyNumberFormat="1" applyFont="1" applyBorder="1"/>
    <xf numFmtId="9" fontId="8" fillId="0" borderId="6" xfId="2" applyFont="1" applyBorder="1"/>
    <xf numFmtId="0" fontId="1" fillId="0" borderId="8" xfId="0" applyFont="1" applyBorder="1"/>
    <xf numFmtId="0" fontId="38" fillId="0" borderId="8" xfId="0" applyFont="1" applyBorder="1"/>
    <xf numFmtId="0" fontId="1" fillId="0" borderId="9" xfId="0" applyFont="1" applyBorder="1"/>
    <xf numFmtId="0" fontId="1" fillId="0" borderId="56" xfId="0" applyFont="1" applyBorder="1"/>
    <xf numFmtId="0" fontId="1" fillId="0" borderId="36" xfId="0" applyFont="1" applyBorder="1"/>
    <xf numFmtId="0" fontId="1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6" fontId="0" fillId="0" borderId="5" xfId="2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9" fontId="8" fillId="0" borderId="11" xfId="2" applyFont="1" applyBorder="1"/>
    <xf numFmtId="9" fontId="8" fillId="0" borderId="15" xfId="2" applyFont="1" applyBorder="1"/>
    <xf numFmtId="166" fontId="0" fillId="0" borderId="29" xfId="2" applyNumberFormat="1" applyFont="1" applyBorder="1" applyAlignment="1">
      <alignment horizontal="center"/>
    </xf>
    <xf numFmtId="0" fontId="0" fillId="0" borderId="26" xfId="0" applyBorder="1" applyAlignment="1">
      <alignment horizontal="center"/>
    </xf>
    <xf numFmtId="166" fontId="8" fillId="0" borderId="26" xfId="2" applyNumberFormat="1" applyFont="1" applyBorder="1"/>
    <xf numFmtId="166" fontId="0" fillId="0" borderId="27" xfId="2" applyNumberFormat="1" applyFont="1" applyBorder="1" applyAlignment="1">
      <alignment horizontal="center"/>
    </xf>
    <xf numFmtId="0" fontId="8" fillId="0" borderId="26" xfId="0" applyFont="1" applyBorder="1"/>
    <xf numFmtId="0" fontId="0" fillId="0" borderId="27" xfId="0" applyBorder="1" applyAlignment="1">
      <alignment horizontal="center"/>
    </xf>
    <xf numFmtId="166" fontId="8" fillId="0" borderId="15" xfId="2" applyNumberFormat="1" applyFont="1" applyBorder="1"/>
    <xf numFmtId="9" fontId="8" fillId="0" borderId="26" xfId="2" applyFont="1" applyBorder="1"/>
    <xf numFmtId="0" fontId="1" fillId="0" borderId="15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57" xfId="0" applyBorder="1"/>
    <xf numFmtId="0" fontId="0" fillId="0" borderId="22" xfId="0" applyBorder="1"/>
    <xf numFmtId="0" fontId="1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8" fillId="0" borderId="22" xfId="0" applyFont="1" applyBorder="1"/>
    <xf numFmtId="0" fontId="1" fillId="0" borderId="58" xfId="0" applyFont="1" applyBorder="1" applyAlignment="1">
      <alignment horizontal="center"/>
    </xf>
    <xf numFmtId="9" fontId="0" fillId="0" borderId="5" xfId="2" applyNumberFormat="1" applyFont="1" applyBorder="1" applyAlignment="1">
      <alignment horizontal="center"/>
    </xf>
    <xf numFmtId="9" fontId="0" fillId="0" borderId="7" xfId="2" applyNumberFormat="1" applyFont="1" applyBorder="1" applyAlignment="1">
      <alignment horizontal="center"/>
    </xf>
    <xf numFmtId="9" fontId="0" fillId="0" borderId="29" xfId="2" applyNumberFormat="1" applyFont="1" applyBorder="1" applyAlignment="1">
      <alignment horizontal="center"/>
    </xf>
    <xf numFmtId="9" fontId="0" fillId="0" borderId="27" xfId="2" applyNumberFormat="1" applyFont="1" applyBorder="1" applyAlignment="1">
      <alignment horizontal="center"/>
    </xf>
    <xf numFmtId="9" fontId="0" fillId="0" borderId="12" xfId="2" applyNumberFormat="1" applyFont="1" applyBorder="1" applyAlignment="1">
      <alignment horizontal="center"/>
    </xf>
    <xf numFmtId="0" fontId="0" fillId="8" borderId="50" xfId="0" applyFill="1" applyBorder="1"/>
    <xf numFmtId="0" fontId="0" fillId="8" borderId="18" xfId="0" applyFill="1" applyBorder="1"/>
    <xf numFmtId="1" fontId="0" fillId="8" borderId="0" xfId="0" applyNumberFormat="1" applyFill="1" applyBorder="1"/>
    <xf numFmtId="1" fontId="0" fillId="8" borderId="5" xfId="0" applyNumberFormat="1" applyFill="1" applyBorder="1"/>
    <xf numFmtId="0" fontId="0" fillId="8" borderId="51" xfId="0" applyFill="1" applyBorder="1"/>
    <xf numFmtId="0" fontId="0" fillId="8" borderId="19" xfId="0" applyFill="1" applyBorder="1"/>
    <xf numFmtId="1" fontId="0" fillId="8" borderId="15" xfId="0" applyNumberFormat="1" applyFill="1" applyBorder="1"/>
    <xf numFmtId="1" fontId="0" fillId="8" borderId="29" xfId="0" applyNumberFormat="1" applyFill="1" applyBorder="1"/>
    <xf numFmtId="0" fontId="0" fillId="9" borderId="50" xfId="0" applyFill="1" applyBorder="1"/>
    <xf numFmtId="0" fontId="0" fillId="9" borderId="18" xfId="0" applyFill="1" applyBorder="1"/>
    <xf numFmtId="1" fontId="0" fillId="9" borderId="0" xfId="0" applyNumberFormat="1" applyFill="1" applyBorder="1"/>
    <xf numFmtId="1" fontId="0" fillId="9" borderId="5" xfId="0" applyNumberFormat="1" applyFill="1" applyBorder="1"/>
    <xf numFmtId="0" fontId="0" fillId="9" borderId="51" xfId="0" applyFill="1" applyBorder="1"/>
    <xf numFmtId="0" fontId="0" fillId="9" borderId="19" xfId="0" applyFill="1" applyBorder="1"/>
    <xf numFmtId="1" fontId="0" fillId="9" borderId="15" xfId="0" applyNumberFormat="1" applyFill="1" applyBorder="1"/>
    <xf numFmtId="1" fontId="0" fillId="9" borderId="29" xfId="0" applyNumberFormat="1" applyFill="1" applyBorder="1"/>
    <xf numFmtId="0" fontId="0" fillId="7" borderId="50" xfId="0" applyFill="1" applyBorder="1"/>
    <xf numFmtId="0" fontId="0" fillId="7" borderId="18" xfId="0" applyFill="1" applyBorder="1"/>
    <xf numFmtId="1" fontId="0" fillId="7" borderId="0" xfId="0" applyNumberFormat="1" applyFill="1" applyBorder="1"/>
    <xf numFmtId="1" fontId="0" fillId="7" borderId="5" xfId="0" applyNumberFormat="1" applyFill="1" applyBorder="1"/>
    <xf numFmtId="0" fontId="0" fillId="7" borderId="52" xfId="0" applyFill="1" applyBorder="1"/>
    <xf numFmtId="0" fontId="0" fillId="7" borderId="54" xfId="0" applyFill="1" applyBorder="1"/>
    <xf numFmtId="1" fontId="0" fillId="7" borderId="6" xfId="0" applyNumberFormat="1" applyFill="1" applyBorder="1"/>
    <xf numFmtId="1" fontId="0" fillId="7" borderId="7" xfId="0" applyNumberFormat="1" applyFill="1" applyBorder="1"/>
    <xf numFmtId="0" fontId="0" fillId="6" borderId="50" xfId="0" applyFill="1" applyBorder="1"/>
    <xf numFmtId="0" fontId="0" fillId="6" borderId="18" xfId="0" applyFill="1" applyBorder="1"/>
    <xf numFmtId="1" fontId="0" fillId="6" borderId="0" xfId="0" applyNumberFormat="1" applyFill="1" applyBorder="1"/>
    <xf numFmtId="1" fontId="0" fillId="6" borderId="5" xfId="0" applyNumberFormat="1" applyFill="1" applyBorder="1"/>
    <xf numFmtId="0" fontId="0" fillId="6" borderId="51" xfId="0" applyFill="1" applyBorder="1"/>
    <xf numFmtId="0" fontId="0" fillId="6" borderId="19" xfId="0" applyFill="1" applyBorder="1"/>
    <xf numFmtId="1" fontId="0" fillId="6" borderId="15" xfId="0" applyNumberFormat="1" applyFill="1" applyBorder="1"/>
    <xf numFmtId="1" fontId="0" fillId="6" borderId="29" xfId="0" applyNumberFormat="1" applyFill="1" applyBorder="1"/>
    <xf numFmtId="0" fontId="0" fillId="10" borderId="50" xfId="0" applyFill="1" applyBorder="1"/>
    <xf numFmtId="0" fontId="0" fillId="10" borderId="18" xfId="0" applyFill="1" applyBorder="1"/>
    <xf numFmtId="1" fontId="0" fillId="10" borderId="0" xfId="0" applyNumberFormat="1" applyFill="1" applyBorder="1"/>
    <xf numFmtId="1" fontId="0" fillId="10" borderId="5" xfId="0" applyNumberFormat="1" applyFill="1" applyBorder="1"/>
    <xf numFmtId="0" fontId="0" fillId="10" borderId="51" xfId="0" applyFill="1" applyBorder="1"/>
    <xf numFmtId="0" fontId="0" fillId="10" borderId="19" xfId="0" applyFill="1" applyBorder="1"/>
    <xf numFmtId="1" fontId="0" fillId="10" borderId="15" xfId="0" applyNumberFormat="1" applyFill="1" applyBorder="1"/>
    <xf numFmtId="1" fontId="0" fillId="10" borderId="29" xfId="0" applyNumberFormat="1" applyFill="1" applyBorder="1"/>
    <xf numFmtId="0" fontId="13" fillId="6" borderId="46" xfId="0" applyFont="1" applyFill="1" applyBorder="1" applyAlignment="1">
      <alignment horizontal="center"/>
    </xf>
    <xf numFmtId="0" fontId="13" fillId="6" borderId="20" xfId="0" applyFont="1" applyFill="1" applyBorder="1" applyAlignment="1">
      <alignment horizontal="center"/>
    </xf>
    <xf numFmtId="0" fontId="13" fillId="6" borderId="21" xfId="0" applyFont="1" applyFill="1" applyBorder="1" applyAlignment="1">
      <alignment horizontal="center"/>
    </xf>
    <xf numFmtId="0" fontId="13" fillId="6" borderId="30" xfId="0" applyFont="1" applyFill="1" applyBorder="1" applyAlignment="1">
      <alignment horizontal="center"/>
    </xf>
    <xf numFmtId="0" fontId="13" fillId="6" borderId="55" xfId="0" applyFont="1" applyFill="1" applyBorder="1" applyAlignment="1">
      <alignment horizontal="center"/>
    </xf>
    <xf numFmtId="0" fontId="8" fillId="0" borderId="10" xfId="1" applyNumberFormat="1" applyFont="1" applyBorder="1" applyAlignment="1">
      <alignment horizontal="center"/>
    </xf>
    <xf numFmtId="0" fontId="8" fillId="0" borderId="11" xfId="1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8" fillId="0" borderId="13" xfId="1" applyNumberFormat="1" applyFont="1" applyBorder="1" applyAlignment="1">
      <alignment horizontal="center"/>
    </xf>
    <xf numFmtId="0" fontId="8" fillId="0" borderId="0" xfId="1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14" xfId="1" applyNumberFormat="1" applyFont="1" applyBorder="1" applyAlignment="1">
      <alignment horizontal="center"/>
    </xf>
    <xf numFmtId="0" fontId="8" fillId="0" borderId="6" xfId="1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9" fontId="47" fillId="0" borderId="0" xfId="2" applyFont="1" applyBorder="1" applyAlignment="1">
      <alignment horizontal="center"/>
    </xf>
    <xf numFmtId="9" fontId="47" fillId="0" borderId="11" xfId="2" applyFont="1" applyBorder="1" applyAlignment="1">
      <alignment horizontal="center"/>
    </xf>
    <xf numFmtId="9" fontId="47" fillId="0" borderId="12" xfId="2" applyFont="1" applyBorder="1" applyAlignment="1">
      <alignment horizontal="center"/>
    </xf>
    <xf numFmtId="9" fontId="47" fillId="0" borderId="5" xfId="2" applyFont="1" applyBorder="1" applyAlignment="1">
      <alignment horizontal="center"/>
    </xf>
    <xf numFmtId="9" fontId="47" fillId="0" borderId="6" xfId="2" applyFont="1" applyBorder="1" applyAlignment="1">
      <alignment horizontal="center"/>
    </xf>
    <xf numFmtId="9" fontId="47" fillId="0" borderId="7" xfId="2" applyFont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8" fillId="0" borderId="16" xfId="1" applyNumberFormat="1" applyFont="1" applyBorder="1" applyAlignment="1">
      <alignment horizontal="center"/>
    </xf>
    <xf numFmtId="9" fontId="47" fillId="0" borderId="8" xfId="2" applyFont="1" applyBorder="1" applyAlignment="1">
      <alignment horizontal="center"/>
    </xf>
    <xf numFmtId="0" fontId="8" fillId="0" borderId="8" xfId="1" applyNumberFormat="1" applyFont="1" applyBorder="1" applyAlignment="1">
      <alignment horizontal="center"/>
    </xf>
    <xf numFmtId="0" fontId="8" fillId="0" borderId="8" xfId="0" applyNumberFormat="1" applyFont="1" applyBorder="1" applyAlignment="1">
      <alignment horizontal="center"/>
    </xf>
    <xf numFmtId="9" fontId="47" fillId="0" borderId="9" xfId="2" applyFont="1" applyBorder="1" applyAlignment="1">
      <alignment horizontal="center"/>
    </xf>
    <xf numFmtId="165" fontId="4" fillId="4" borderId="16" xfId="1" applyNumberFormat="1" applyFont="1" applyFill="1" applyBorder="1" applyAlignment="1">
      <alignment horizontal="right"/>
    </xf>
    <xf numFmtId="165" fontId="4" fillId="4" borderId="53" xfId="1" applyNumberFormat="1" applyFont="1" applyFill="1" applyBorder="1" applyAlignment="1">
      <alignment horizontal="right"/>
    </xf>
    <xf numFmtId="165" fontId="4" fillId="4" borderId="37" xfId="1" applyNumberFormat="1" applyFont="1" applyFill="1" applyBorder="1" applyAlignment="1">
      <alignment horizontal="right"/>
    </xf>
    <xf numFmtId="165" fontId="4" fillId="4" borderId="59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" fillId="0" borderId="53" xfId="0" applyFont="1" applyBorder="1"/>
    <xf numFmtId="1" fontId="0" fillId="6" borderId="34" xfId="0" applyNumberFormat="1" applyFill="1" applyBorder="1"/>
    <xf numFmtId="1" fontId="0" fillId="6" borderId="35" xfId="0" applyNumberFormat="1" applyFill="1" applyBorder="1"/>
    <xf numFmtId="1" fontId="0" fillId="10" borderId="34" xfId="0" applyNumberFormat="1" applyFill="1" applyBorder="1"/>
    <xf numFmtId="1" fontId="0" fillId="10" borderId="35" xfId="0" applyNumberFormat="1" applyFill="1" applyBorder="1"/>
    <xf numFmtId="1" fontId="0" fillId="9" borderId="34" xfId="0" applyNumberFormat="1" applyFill="1" applyBorder="1"/>
    <xf numFmtId="1" fontId="0" fillId="9" borderId="35" xfId="0" applyNumberFormat="1" applyFill="1" applyBorder="1"/>
    <xf numFmtId="1" fontId="0" fillId="8" borderId="34" xfId="0" applyNumberFormat="1" applyFill="1" applyBorder="1"/>
    <xf numFmtId="1" fontId="0" fillId="8" borderId="35" xfId="0" applyNumberFormat="1" applyFill="1" applyBorder="1"/>
    <xf numFmtId="1" fontId="0" fillId="7" borderId="34" xfId="0" applyNumberFormat="1" applyFill="1" applyBorder="1"/>
    <xf numFmtId="1" fontId="0" fillId="7" borderId="41" xfId="0" applyNumberFormat="1" applyFill="1" applyBorder="1"/>
    <xf numFmtId="0" fontId="15" fillId="0" borderId="0" xfId="0" applyFont="1"/>
    <xf numFmtId="0" fontId="34" fillId="0" borderId="8" xfId="0" applyFont="1" applyBorder="1"/>
    <xf numFmtId="0" fontId="15" fillId="6" borderId="0" xfId="0" applyFont="1" applyFill="1" applyBorder="1"/>
    <xf numFmtId="0" fontId="15" fillId="6" borderId="15" xfId="0" applyFont="1" applyFill="1" applyBorder="1"/>
    <xf numFmtId="0" fontId="15" fillId="10" borderId="0" xfId="0" applyFont="1" applyFill="1" applyBorder="1"/>
    <xf numFmtId="0" fontId="15" fillId="10" borderId="15" xfId="0" applyFont="1" applyFill="1" applyBorder="1"/>
    <xf numFmtId="0" fontId="15" fillId="9" borderId="0" xfId="0" applyFont="1" applyFill="1" applyBorder="1"/>
    <xf numFmtId="0" fontId="15" fillId="9" borderId="15" xfId="0" applyFont="1" applyFill="1" applyBorder="1"/>
    <xf numFmtId="0" fontId="15" fillId="8" borderId="0" xfId="0" applyFont="1" applyFill="1" applyBorder="1"/>
    <xf numFmtId="0" fontId="15" fillId="8" borderId="15" xfId="0" applyFont="1" applyFill="1" applyBorder="1"/>
    <xf numFmtId="0" fontId="15" fillId="7" borderId="0" xfId="0" applyFont="1" applyFill="1" applyBorder="1"/>
    <xf numFmtId="0" fontId="15" fillId="7" borderId="6" xfId="0" applyFont="1" applyFill="1" applyBorder="1"/>
    <xf numFmtId="0" fontId="34" fillId="0" borderId="37" xfId="0" applyFont="1" applyBorder="1"/>
    <xf numFmtId="0" fontId="15" fillId="6" borderId="20" xfId="0" applyFont="1" applyFill="1" applyBorder="1"/>
    <xf numFmtId="0" fontId="15" fillId="6" borderId="21" xfId="0" applyFont="1" applyFill="1" applyBorder="1"/>
    <xf numFmtId="0" fontId="15" fillId="10" borderId="20" xfId="0" applyFont="1" applyFill="1" applyBorder="1"/>
    <xf numFmtId="0" fontId="15" fillId="10" borderId="21" xfId="0" applyFont="1" applyFill="1" applyBorder="1"/>
    <xf numFmtId="0" fontId="15" fillId="9" borderId="20" xfId="0" applyFont="1" applyFill="1" applyBorder="1"/>
    <xf numFmtId="0" fontId="15" fillId="9" borderId="21" xfId="0" applyFont="1" applyFill="1" applyBorder="1"/>
    <xf numFmtId="0" fontId="15" fillId="8" borderId="20" xfId="0" applyFont="1" applyFill="1" applyBorder="1"/>
    <xf numFmtId="0" fontId="15" fillId="8" borderId="21" xfId="0" applyFont="1" applyFill="1" applyBorder="1"/>
    <xf numFmtId="0" fontId="15" fillId="7" borderId="20" xfId="0" applyFont="1" applyFill="1" applyBorder="1"/>
    <xf numFmtId="0" fontId="15" fillId="7" borderId="48" xfId="0" applyFont="1" applyFill="1" applyBorder="1"/>
    <xf numFmtId="0" fontId="48" fillId="0" borderId="0" xfId="0" applyFont="1"/>
    <xf numFmtId="0" fontId="48" fillId="0" borderId="0" xfId="0" applyFont="1" applyAlignment="1">
      <alignment horizontal="center"/>
    </xf>
    <xf numFmtId="0" fontId="48" fillId="0" borderId="0" xfId="0" applyFont="1" applyFill="1" applyBorder="1" applyAlignment="1">
      <alignment wrapText="1"/>
    </xf>
    <xf numFmtId="1" fontId="48" fillId="0" borderId="0" xfId="0" applyNumberFormat="1" applyFont="1"/>
    <xf numFmtId="1" fontId="48" fillId="0" borderId="1" xfId="0" applyNumberFormat="1" applyFont="1" applyBorder="1"/>
    <xf numFmtId="0" fontId="11" fillId="11" borderId="0" xfId="0" applyFont="1" applyFill="1"/>
    <xf numFmtId="0" fontId="11" fillId="11" borderId="0" xfId="0" applyFont="1" applyFill="1" applyAlignment="1">
      <alignment horizontal="center"/>
    </xf>
    <xf numFmtId="0" fontId="11" fillId="11" borderId="0" xfId="0" applyFont="1" applyFill="1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 wrapText="1"/>
    </xf>
    <xf numFmtId="164" fontId="0" fillId="0" borderId="1" xfId="0" applyNumberFormat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1" fillId="0" borderId="30" xfId="0" applyNumberFormat="1" applyFont="1" applyFill="1" applyBorder="1" applyAlignment="1">
      <alignment horizontal="center" wrapText="1"/>
    </xf>
    <xf numFmtId="164" fontId="1" fillId="0" borderId="21" xfId="0" applyNumberFormat="1" applyFont="1" applyFill="1" applyBorder="1" applyAlignment="1">
      <alignment horizontal="center" wrapText="1"/>
    </xf>
    <xf numFmtId="164" fontId="0" fillId="0" borderId="30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" fontId="0" fillId="4" borderId="30" xfId="0" applyNumberFormat="1" applyFill="1" applyBorder="1" applyAlignment="1">
      <alignment horizontal="center" vertical="center"/>
    </xf>
    <xf numFmtId="1" fontId="0" fillId="4" borderId="20" xfId="0" applyNumberFormat="1" applyFill="1" applyBorder="1" applyAlignment="1">
      <alignment horizontal="center" vertical="center"/>
    </xf>
    <xf numFmtId="1" fontId="0" fillId="4" borderId="21" xfId="0" applyNumberFormat="1" applyFill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167" fontId="0" fillId="0" borderId="30" xfId="2" applyNumberFormat="1" applyFont="1" applyFill="1" applyBorder="1" applyAlignment="1">
      <alignment horizontal="center" vertical="center"/>
    </xf>
    <xf numFmtId="167" fontId="0" fillId="0" borderId="20" xfId="2" applyNumberFormat="1" applyFont="1" applyFill="1" applyBorder="1" applyAlignment="1">
      <alignment horizontal="center" vertical="center"/>
    </xf>
    <xf numFmtId="167" fontId="0" fillId="0" borderId="21" xfId="2" applyNumberFormat="1" applyFont="1" applyFill="1" applyBorder="1" applyAlignment="1">
      <alignment horizontal="center" vertical="center"/>
    </xf>
    <xf numFmtId="2" fontId="0" fillId="0" borderId="30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21" xfId="0" applyNumberForma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0" xfId="0" applyAlignment="1">
      <alignment horizontal="center" vertical="center" textRotation="90" wrapText="1"/>
    </xf>
    <xf numFmtId="0" fontId="36" fillId="0" borderId="38" xfId="0" applyFont="1" applyBorder="1" applyAlignment="1">
      <alignment horizontal="center"/>
    </xf>
    <xf numFmtId="0" fontId="36" fillId="0" borderId="23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2" fontId="36" fillId="0" borderId="15" xfId="0" applyNumberFormat="1" applyFont="1" applyBorder="1" applyAlignment="1">
      <alignment horizontal="center"/>
    </xf>
    <xf numFmtId="2" fontId="36" fillId="0" borderId="35" xfId="0" applyNumberFormat="1" applyFont="1" applyBorder="1" applyAlignment="1">
      <alignment horizontal="center"/>
    </xf>
    <xf numFmtId="2" fontId="36" fillId="0" borderId="19" xfId="0" applyNumberFormat="1" applyFont="1" applyBorder="1" applyAlignment="1">
      <alignment horizontal="center"/>
    </xf>
    <xf numFmtId="2" fontId="36" fillId="0" borderId="0" xfId="0" applyNumberFormat="1" applyFont="1" applyBorder="1" applyAlignment="1">
      <alignment horizontal="center"/>
    </xf>
    <xf numFmtId="2" fontId="36" fillId="0" borderId="34" xfId="0" applyNumberFormat="1" applyFont="1" applyBorder="1" applyAlignment="1">
      <alignment horizontal="center"/>
    </xf>
    <xf numFmtId="2" fontId="36" fillId="0" borderId="18" xfId="0" applyNumberFormat="1" applyFont="1" applyBorder="1" applyAlignment="1">
      <alignment horizontal="center"/>
    </xf>
    <xf numFmtId="1" fontId="36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36" fillId="0" borderId="34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6" fillId="0" borderId="35" xfId="0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1" fontId="36" fillId="0" borderId="38" xfId="0" applyNumberFormat="1" applyFont="1" applyBorder="1" applyAlignment="1">
      <alignment horizontal="center"/>
    </xf>
    <xf numFmtId="1" fontId="36" fillId="0" borderId="2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textRotation="90"/>
    </xf>
    <xf numFmtId="1" fontId="36" fillId="0" borderId="22" xfId="0" applyNumberFormat="1" applyFont="1" applyBorder="1" applyAlignment="1">
      <alignment horizontal="center"/>
    </xf>
    <xf numFmtId="1" fontId="36" fillId="0" borderId="34" xfId="0" applyNumberFormat="1" applyFont="1" applyBorder="1" applyAlignment="1">
      <alignment horizontal="center"/>
    </xf>
    <xf numFmtId="1" fontId="36" fillId="0" borderId="18" xfId="0" applyNumberFormat="1" applyFont="1" applyBorder="1" applyAlignment="1">
      <alignment horizontal="center"/>
    </xf>
    <xf numFmtId="0" fontId="0" fillId="0" borderId="18" xfId="0" applyBorder="1" applyAlignment="1">
      <alignment horizontal="right"/>
    </xf>
    <xf numFmtId="1" fontId="36" fillId="0" borderId="35" xfId="0" applyNumberFormat="1" applyFont="1" applyBorder="1" applyAlignment="1">
      <alignment horizontal="center"/>
    </xf>
    <xf numFmtId="1" fontId="36" fillId="0" borderId="19" xfId="0" applyNumberFormat="1" applyFont="1" applyBorder="1" applyAlignment="1">
      <alignment horizontal="center"/>
    </xf>
    <xf numFmtId="1" fontId="36" fillId="0" borderId="15" xfId="0" applyNumberFormat="1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45"/>
    </xf>
    <xf numFmtId="0" fontId="0" fillId="0" borderId="28" xfId="0" applyBorder="1" applyAlignment="1">
      <alignment horizontal="center" vertical="center" textRotation="45"/>
    </xf>
    <xf numFmtId="0" fontId="0" fillId="0" borderId="14" xfId="0" applyBorder="1" applyAlignment="1">
      <alignment horizontal="center" vertical="center" textRotation="45"/>
    </xf>
    <xf numFmtId="0" fontId="15" fillId="0" borderId="0" xfId="0" applyFont="1" applyAlignment="1">
      <alignment horizontal="center"/>
    </xf>
    <xf numFmtId="0" fontId="0" fillId="0" borderId="25" xfId="0" applyBorder="1" applyAlignment="1">
      <alignment horizontal="center" vertical="center" textRotation="45"/>
    </xf>
    <xf numFmtId="0" fontId="0" fillId="0" borderId="10" xfId="0" applyBorder="1" applyAlignment="1">
      <alignment horizontal="center" vertical="center" textRotation="45"/>
    </xf>
    <xf numFmtId="0" fontId="9" fillId="0" borderId="4" xfId="0" applyFont="1" applyFill="1" applyBorder="1"/>
    <xf numFmtId="0" fontId="10" fillId="0" borderId="14" xfId="0" applyFont="1" applyFill="1" applyBorder="1"/>
    <xf numFmtId="0" fontId="12" fillId="0" borderId="14" xfId="0" applyFont="1" applyFill="1" applyBorder="1"/>
    <xf numFmtId="0" fontId="8" fillId="0" borderId="17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7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</cellXfs>
  <cellStyles count="3">
    <cellStyle name="Dezimal" xfId="1" builtinId="3"/>
    <cellStyle name="Prozent" xfId="2" builtinId="5"/>
    <cellStyle name="Standard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3399"/>
      <color rgb="FFFFCCFF"/>
      <color rgb="FFFF7C80"/>
      <color rgb="FFF7FFE5"/>
      <color rgb="FF99CCFF"/>
      <color rgb="FFFFFFCC"/>
      <color rgb="FFFFC5C5"/>
      <color rgb="FF777777"/>
      <color rgb="FFB29091"/>
      <color rgb="FFFDB8B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gif"/><Relationship Id="rId13" Type="http://schemas.openxmlformats.org/officeDocument/2006/relationships/image" Target="../media/image14.gif"/><Relationship Id="rId3" Type="http://schemas.openxmlformats.org/officeDocument/2006/relationships/image" Target="../media/image4.gif"/><Relationship Id="rId7" Type="http://schemas.openxmlformats.org/officeDocument/2006/relationships/image" Target="../media/image8.gif"/><Relationship Id="rId12" Type="http://schemas.openxmlformats.org/officeDocument/2006/relationships/image" Target="../media/image13.gif"/><Relationship Id="rId2" Type="http://schemas.openxmlformats.org/officeDocument/2006/relationships/image" Target="../media/image3.gif"/><Relationship Id="rId16" Type="http://schemas.openxmlformats.org/officeDocument/2006/relationships/image" Target="../media/image17.gif"/><Relationship Id="rId1" Type="http://schemas.openxmlformats.org/officeDocument/2006/relationships/image" Target="../media/image2.gif"/><Relationship Id="rId6" Type="http://schemas.openxmlformats.org/officeDocument/2006/relationships/image" Target="../media/image7.gif"/><Relationship Id="rId11" Type="http://schemas.openxmlformats.org/officeDocument/2006/relationships/image" Target="../media/image12.gif"/><Relationship Id="rId5" Type="http://schemas.openxmlformats.org/officeDocument/2006/relationships/image" Target="../media/image6.gif"/><Relationship Id="rId15" Type="http://schemas.openxmlformats.org/officeDocument/2006/relationships/image" Target="../media/image16.gif"/><Relationship Id="rId10" Type="http://schemas.openxmlformats.org/officeDocument/2006/relationships/image" Target="../media/image11.gif"/><Relationship Id="rId4" Type="http://schemas.openxmlformats.org/officeDocument/2006/relationships/image" Target="../media/image5.gif"/><Relationship Id="rId9" Type="http://schemas.openxmlformats.org/officeDocument/2006/relationships/image" Target="../media/image10.gif"/><Relationship Id="rId14" Type="http://schemas.openxmlformats.org/officeDocument/2006/relationships/image" Target="../media/image15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17607</xdr:colOff>
      <xdr:row>0</xdr:row>
      <xdr:rowOff>124866</xdr:rowOff>
    </xdr:from>
    <xdr:to>
      <xdr:col>12</xdr:col>
      <xdr:colOff>716229</xdr:colOff>
      <xdr:row>10</xdr:row>
      <xdr:rowOff>204107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77143" y="124866"/>
          <a:ext cx="4549443" cy="24877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</xdr:colOff>
      <xdr:row>3</xdr:row>
      <xdr:rowOff>9525</xdr:rowOff>
    </xdr:from>
    <xdr:to>
      <xdr:col>15</xdr:col>
      <xdr:colOff>200025</xdr:colOff>
      <xdr:row>4</xdr:row>
      <xdr:rowOff>9525</xdr:rowOff>
    </xdr:to>
    <xdr:pic>
      <xdr:nvPicPr>
        <xdr:cNvPr id="2" name="Picture 2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82075" y="400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6</xdr:row>
      <xdr:rowOff>0</xdr:rowOff>
    </xdr:to>
    <xdr:pic>
      <xdr:nvPicPr>
        <xdr:cNvPr id="3" name="Picture 5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771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190500</xdr:colOff>
      <xdr:row>7</xdr:row>
      <xdr:rowOff>0</xdr:rowOff>
    </xdr:to>
    <xdr:pic>
      <xdr:nvPicPr>
        <xdr:cNvPr id="4" name="Picture 7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962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190500</xdr:colOff>
      <xdr:row>8</xdr:row>
      <xdr:rowOff>0</xdr:rowOff>
    </xdr:to>
    <xdr:pic>
      <xdr:nvPicPr>
        <xdr:cNvPr id="5" name="Picture 9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1152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7</xdr:row>
      <xdr:rowOff>0</xdr:rowOff>
    </xdr:from>
    <xdr:to>
      <xdr:col>15</xdr:col>
      <xdr:colOff>390525</xdr:colOff>
      <xdr:row>8</xdr:row>
      <xdr:rowOff>0</xdr:rowOff>
    </xdr:to>
    <xdr:pic>
      <xdr:nvPicPr>
        <xdr:cNvPr id="6" name="Picture 10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1152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7</xdr:row>
      <xdr:rowOff>0</xdr:rowOff>
    </xdr:from>
    <xdr:to>
      <xdr:col>15</xdr:col>
      <xdr:colOff>590550</xdr:colOff>
      <xdr:row>8</xdr:row>
      <xdr:rowOff>0</xdr:rowOff>
    </xdr:to>
    <xdr:pic>
      <xdr:nvPicPr>
        <xdr:cNvPr id="7" name="Picture 1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1152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190500</xdr:colOff>
      <xdr:row>9</xdr:row>
      <xdr:rowOff>0</xdr:rowOff>
    </xdr:to>
    <xdr:pic>
      <xdr:nvPicPr>
        <xdr:cNvPr id="8" name="Picture 13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1343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10</xdr:row>
      <xdr:rowOff>0</xdr:rowOff>
    </xdr:to>
    <xdr:pic>
      <xdr:nvPicPr>
        <xdr:cNvPr id="9" name="Picture 15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1533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9</xdr:row>
      <xdr:rowOff>0</xdr:rowOff>
    </xdr:from>
    <xdr:to>
      <xdr:col>15</xdr:col>
      <xdr:colOff>390525</xdr:colOff>
      <xdr:row>10</xdr:row>
      <xdr:rowOff>0</xdr:rowOff>
    </xdr:to>
    <xdr:pic>
      <xdr:nvPicPr>
        <xdr:cNvPr id="10" name="Picture 16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1533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9</xdr:row>
      <xdr:rowOff>0</xdr:rowOff>
    </xdr:from>
    <xdr:to>
      <xdr:col>15</xdr:col>
      <xdr:colOff>590550</xdr:colOff>
      <xdr:row>10</xdr:row>
      <xdr:rowOff>0</xdr:rowOff>
    </xdr:to>
    <xdr:pic>
      <xdr:nvPicPr>
        <xdr:cNvPr id="11" name="Picture 17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372600" y="1533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190500</xdr:colOff>
      <xdr:row>11</xdr:row>
      <xdr:rowOff>0</xdr:rowOff>
    </xdr:to>
    <xdr:pic>
      <xdr:nvPicPr>
        <xdr:cNvPr id="12" name="Picture 1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1724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14</xdr:row>
      <xdr:rowOff>0</xdr:rowOff>
    </xdr:from>
    <xdr:to>
      <xdr:col>15</xdr:col>
      <xdr:colOff>190500</xdr:colOff>
      <xdr:row>15</xdr:row>
      <xdr:rowOff>0</xdr:rowOff>
    </xdr:to>
    <xdr:pic>
      <xdr:nvPicPr>
        <xdr:cNvPr id="13" name="Picture 2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2486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</xdr:row>
      <xdr:rowOff>0</xdr:rowOff>
    </xdr:from>
    <xdr:to>
      <xdr:col>15</xdr:col>
      <xdr:colOff>190500</xdr:colOff>
      <xdr:row>15</xdr:row>
      <xdr:rowOff>190500</xdr:rowOff>
    </xdr:to>
    <xdr:pic>
      <xdr:nvPicPr>
        <xdr:cNvPr id="14" name="Picture 26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2676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15</xdr:row>
      <xdr:rowOff>0</xdr:rowOff>
    </xdr:from>
    <xdr:to>
      <xdr:col>15</xdr:col>
      <xdr:colOff>390525</xdr:colOff>
      <xdr:row>15</xdr:row>
      <xdr:rowOff>190500</xdr:rowOff>
    </xdr:to>
    <xdr:pic>
      <xdr:nvPicPr>
        <xdr:cNvPr id="15" name="Picture 27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2676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190500</xdr:colOff>
      <xdr:row>19</xdr:row>
      <xdr:rowOff>0</xdr:rowOff>
    </xdr:to>
    <xdr:pic>
      <xdr:nvPicPr>
        <xdr:cNvPr id="16" name="Picture 30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32575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19</xdr:row>
      <xdr:rowOff>0</xdr:rowOff>
    </xdr:from>
    <xdr:to>
      <xdr:col>15</xdr:col>
      <xdr:colOff>190500</xdr:colOff>
      <xdr:row>20</xdr:row>
      <xdr:rowOff>0</xdr:rowOff>
    </xdr:to>
    <xdr:pic>
      <xdr:nvPicPr>
        <xdr:cNvPr id="17" name="Picture 3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3448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19</xdr:row>
      <xdr:rowOff>0</xdr:rowOff>
    </xdr:from>
    <xdr:to>
      <xdr:col>15</xdr:col>
      <xdr:colOff>390525</xdr:colOff>
      <xdr:row>20</xdr:row>
      <xdr:rowOff>0</xdr:rowOff>
    </xdr:to>
    <xdr:pic>
      <xdr:nvPicPr>
        <xdr:cNvPr id="18" name="Picture 33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172575" y="3448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190500</xdr:colOff>
      <xdr:row>21</xdr:row>
      <xdr:rowOff>0</xdr:rowOff>
    </xdr:to>
    <xdr:pic>
      <xdr:nvPicPr>
        <xdr:cNvPr id="19" name="Picture 35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36385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20</xdr:row>
      <xdr:rowOff>0</xdr:rowOff>
    </xdr:from>
    <xdr:to>
      <xdr:col>15</xdr:col>
      <xdr:colOff>390525</xdr:colOff>
      <xdr:row>21</xdr:row>
      <xdr:rowOff>0</xdr:rowOff>
    </xdr:to>
    <xdr:pic>
      <xdr:nvPicPr>
        <xdr:cNvPr id="20" name="Picture 36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172575" y="36385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190500</xdr:colOff>
      <xdr:row>22</xdr:row>
      <xdr:rowOff>0</xdr:rowOff>
    </xdr:to>
    <xdr:pic>
      <xdr:nvPicPr>
        <xdr:cNvPr id="21" name="Picture 38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3829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21</xdr:row>
      <xdr:rowOff>0</xdr:rowOff>
    </xdr:from>
    <xdr:to>
      <xdr:col>15</xdr:col>
      <xdr:colOff>390525</xdr:colOff>
      <xdr:row>22</xdr:row>
      <xdr:rowOff>0</xdr:rowOff>
    </xdr:to>
    <xdr:pic>
      <xdr:nvPicPr>
        <xdr:cNvPr id="22" name="Picture 39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3829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21</xdr:row>
      <xdr:rowOff>0</xdr:rowOff>
    </xdr:from>
    <xdr:to>
      <xdr:col>15</xdr:col>
      <xdr:colOff>590550</xdr:colOff>
      <xdr:row>22</xdr:row>
      <xdr:rowOff>0</xdr:rowOff>
    </xdr:to>
    <xdr:pic>
      <xdr:nvPicPr>
        <xdr:cNvPr id="23" name="Picture 40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372600" y="3829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21</xdr:row>
      <xdr:rowOff>0</xdr:rowOff>
    </xdr:from>
    <xdr:to>
      <xdr:col>15</xdr:col>
      <xdr:colOff>762000</xdr:colOff>
      <xdr:row>22</xdr:row>
      <xdr:rowOff>0</xdr:rowOff>
    </xdr:to>
    <xdr:pic>
      <xdr:nvPicPr>
        <xdr:cNvPr id="24" name="Picture 4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572625" y="382905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</xdr:row>
      <xdr:rowOff>9525</xdr:rowOff>
    </xdr:from>
    <xdr:to>
      <xdr:col>15</xdr:col>
      <xdr:colOff>190500</xdr:colOff>
      <xdr:row>29</xdr:row>
      <xdr:rowOff>9525</xdr:rowOff>
    </xdr:to>
    <xdr:pic>
      <xdr:nvPicPr>
        <xdr:cNvPr id="25" name="Picture 48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5181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29</xdr:row>
      <xdr:rowOff>9525</xdr:rowOff>
    </xdr:from>
    <xdr:to>
      <xdr:col>15</xdr:col>
      <xdr:colOff>190500</xdr:colOff>
      <xdr:row>30</xdr:row>
      <xdr:rowOff>9525</xdr:rowOff>
    </xdr:to>
    <xdr:pic>
      <xdr:nvPicPr>
        <xdr:cNvPr id="26" name="Picture 50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5372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30</xdr:row>
      <xdr:rowOff>9525</xdr:rowOff>
    </xdr:from>
    <xdr:to>
      <xdr:col>15</xdr:col>
      <xdr:colOff>190500</xdr:colOff>
      <xdr:row>31</xdr:row>
      <xdr:rowOff>9525</xdr:rowOff>
    </xdr:to>
    <xdr:pic>
      <xdr:nvPicPr>
        <xdr:cNvPr id="27" name="Picture 52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5562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31</xdr:row>
      <xdr:rowOff>9525</xdr:rowOff>
    </xdr:from>
    <xdr:to>
      <xdr:col>15</xdr:col>
      <xdr:colOff>190500</xdr:colOff>
      <xdr:row>32</xdr:row>
      <xdr:rowOff>9525</xdr:rowOff>
    </xdr:to>
    <xdr:pic>
      <xdr:nvPicPr>
        <xdr:cNvPr id="28" name="Picture 5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5753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34</xdr:row>
      <xdr:rowOff>9525</xdr:rowOff>
    </xdr:from>
    <xdr:to>
      <xdr:col>15</xdr:col>
      <xdr:colOff>190500</xdr:colOff>
      <xdr:row>35</xdr:row>
      <xdr:rowOff>9525</xdr:rowOff>
    </xdr:to>
    <xdr:pic>
      <xdr:nvPicPr>
        <xdr:cNvPr id="29" name="Picture 58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6324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34</xdr:row>
      <xdr:rowOff>9525</xdr:rowOff>
    </xdr:from>
    <xdr:to>
      <xdr:col>15</xdr:col>
      <xdr:colOff>390525</xdr:colOff>
      <xdr:row>35</xdr:row>
      <xdr:rowOff>9525</xdr:rowOff>
    </xdr:to>
    <xdr:pic>
      <xdr:nvPicPr>
        <xdr:cNvPr id="30" name="Picture 59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172575" y="6324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35</xdr:row>
      <xdr:rowOff>9525</xdr:rowOff>
    </xdr:from>
    <xdr:to>
      <xdr:col>15</xdr:col>
      <xdr:colOff>190500</xdr:colOff>
      <xdr:row>36</xdr:row>
      <xdr:rowOff>9525</xdr:rowOff>
    </xdr:to>
    <xdr:pic>
      <xdr:nvPicPr>
        <xdr:cNvPr id="31" name="Picture 61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6515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35</xdr:row>
      <xdr:rowOff>9525</xdr:rowOff>
    </xdr:from>
    <xdr:to>
      <xdr:col>15</xdr:col>
      <xdr:colOff>390525</xdr:colOff>
      <xdr:row>36</xdr:row>
      <xdr:rowOff>9525</xdr:rowOff>
    </xdr:to>
    <xdr:pic>
      <xdr:nvPicPr>
        <xdr:cNvPr id="32" name="Picture 62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6515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36</xdr:row>
      <xdr:rowOff>9525</xdr:rowOff>
    </xdr:from>
    <xdr:to>
      <xdr:col>15</xdr:col>
      <xdr:colOff>190500</xdr:colOff>
      <xdr:row>37</xdr:row>
      <xdr:rowOff>0</xdr:rowOff>
    </xdr:to>
    <xdr:pic>
      <xdr:nvPicPr>
        <xdr:cNvPr id="33" name="Picture 6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6705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36</xdr:row>
      <xdr:rowOff>9525</xdr:rowOff>
    </xdr:from>
    <xdr:to>
      <xdr:col>15</xdr:col>
      <xdr:colOff>390525</xdr:colOff>
      <xdr:row>37</xdr:row>
      <xdr:rowOff>0</xdr:rowOff>
    </xdr:to>
    <xdr:pic>
      <xdr:nvPicPr>
        <xdr:cNvPr id="34" name="Picture 65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172575" y="6705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36</xdr:row>
      <xdr:rowOff>9525</xdr:rowOff>
    </xdr:from>
    <xdr:to>
      <xdr:col>15</xdr:col>
      <xdr:colOff>590550</xdr:colOff>
      <xdr:row>37</xdr:row>
      <xdr:rowOff>0</xdr:rowOff>
    </xdr:to>
    <xdr:pic>
      <xdr:nvPicPr>
        <xdr:cNvPr id="35" name="Picture 66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72600" y="6705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36</xdr:row>
      <xdr:rowOff>9525</xdr:rowOff>
    </xdr:from>
    <xdr:to>
      <xdr:col>15</xdr:col>
      <xdr:colOff>762000</xdr:colOff>
      <xdr:row>37</xdr:row>
      <xdr:rowOff>0</xdr:rowOff>
    </xdr:to>
    <xdr:pic>
      <xdr:nvPicPr>
        <xdr:cNvPr id="36" name="Picture 67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572625" y="670560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38</xdr:row>
      <xdr:rowOff>0</xdr:rowOff>
    </xdr:from>
    <xdr:to>
      <xdr:col>15</xdr:col>
      <xdr:colOff>190500</xdr:colOff>
      <xdr:row>39</xdr:row>
      <xdr:rowOff>0</xdr:rowOff>
    </xdr:to>
    <xdr:pic>
      <xdr:nvPicPr>
        <xdr:cNvPr id="37" name="Picture 65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7086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39</xdr:row>
      <xdr:rowOff>0</xdr:rowOff>
    </xdr:from>
    <xdr:to>
      <xdr:col>15</xdr:col>
      <xdr:colOff>190500</xdr:colOff>
      <xdr:row>40</xdr:row>
      <xdr:rowOff>0</xdr:rowOff>
    </xdr:to>
    <xdr:pic>
      <xdr:nvPicPr>
        <xdr:cNvPr id="38" name="Picture 67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7277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40</xdr:row>
      <xdr:rowOff>0</xdr:rowOff>
    </xdr:from>
    <xdr:to>
      <xdr:col>15</xdr:col>
      <xdr:colOff>190500</xdr:colOff>
      <xdr:row>41</xdr:row>
      <xdr:rowOff>0</xdr:rowOff>
    </xdr:to>
    <xdr:pic>
      <xdr:nvPicPr>
        <xdr:cNvPr id="39" name="Picture 6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7467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190500</xdr:colOff>
      <xdr:row>41</xdr:row>
      <xdr:rowOff>190500</xdr:rowOff>
    </xdr:to>
    <xdr:pic>
      <xdr:nvPicPr>
        <xdr:cNvPr id="40" name="Picture 71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7658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37</xdr:row>
      <xdr:rowOff>0</xdr:rowOff>
    </xdr:from>
    <xdr:to>
      <xdr:col>15</xdr:col>
      <xdr:colOff>200025</xdr:colOff>
      <xdr:row>38</xdr:row>
      <xdr:rowOff>0</xdr:rowOff>
    </xdr:to>
    <xdr:pic>
      <xdr:nvPicPr>
        <xdr:cNvPr id="41" name="Picture 65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82075" y="6896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</xdr:row>
      <xdr:rowOff>0</xdr:rowOff>
    </xdr:from>
    <xdr:to>
      <xdr:col>15</xdr:col>
      <xdr:colOff>190500</xdr:colOff>
      <xdr:row>17</xdr:row>
      <xdr:rowOff>0</xdr:rowOff>
    </xdr:to>
    <xdr:pic>
      <xdr:nvPicPr>
        <xdr:cNvPr id="42" name="Picture 30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28765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43</xdr:row>
      <xdr:rowOff>0</xdr:rowOff>
    </xdr:from>
    <xdr:to>
      <xdr:col>15</xdr:col>
      <xdr:colOff>190500</xdr:colOff>
      <xdr:row>44</xdr:row>
      <xdr:rowOff>0</xdr:rowOff>
    </xdr:to>
    <xdr:pic>
      <xdr:nvPicPr>
        <xdr:cNvPr id="43" name="Picture 73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8048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49</xdr:row>
      <xdr:rowOff>0</xdr:rowOff>
    </xdr:from>
    <xdr:to>
      <xdr:col>15</xdr:col>
      <xdr:colOff>190500</xdr:colOff>
      <xdr:row>50</xdr:row>
      <xdr:rowOff>0</xdr:rowOff>
    </xdr:to>
    <xdr:pic>
      <xdr:nvPicPr>
        <xdr:cNvPr id="44" name="Picture 80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8972550" y="9191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50</xdr:row>
      <xdr:rowOff>0</xdr:rowOff>
    </xdr:from>
    <xdr:to>
      <xdr:col>15</xdr:col>
      <xdr:colOff>190500</xdr:colOff>
      <xdr:row>51</xdr:row>
      <xdr:rowOff>0</xdr:rowOff>
    </xdr:to>
    <xdr:pic>
      <xdr:nvPicPr>
        <xdr:cNvPr id="45" name="Picture 82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8972550" y="93821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51</xdr:row>
      <xdr:rowOff>0</xdr:rowOff>
    </xdr:from>
    <xdr:to>
      <xdr:col>15</xdr:col>
      <xdr:colOff>190500</xdr:colOff>
      <xdr:row>52</xdr:row>
      <xdr:rowOff>0</xdr:rowOff>
    </xdr:to>
    <xdr:pic>
      <xdr:nvPicPr>
        <xdr:cNvPr id="46" name="Picture 8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8972550" y="9572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190500</xdr:colOff>
      <xdr:row>53</xdr:row>
      <xdr:rowOff>0</xdr:rowOff>
    </xdr:to>
    <xdr:pic>
      <xdr:nvPicPr>
        <xdr:cNvPr id="47" name="Picture 86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97631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53</xdr:row>
      <xdr:rowOff>0</xdr:rowOff>
    </xdr:from>
    <xdr:to>
      <xdr:col>15</xdr:col>
      <xdr:colOff>190500</xdr:colOff>
      <xdr:row>54</xdr:row>
      <xdr:rowOff>0</xdr:rowOff>
    </xdr:to>
    <xdr:pic>
      <xdr:nvPicPr>
        <xdr:cNvPr id="48" name="Picture 8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9953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55</xdr:row>
      <xdr:rowOff>0</xdr:rowOff>
    </xdr:from>
    <xdr:to>
      <xdr:col>15</xdr:col>
      <xdr:colOff>190500</xdr:colOff>
      <xdr:row>55</xdr:row>
      <xdr:rowOff>190500</xdr:rowOff>
    </xdr:to>
    <xdr:pic>
      <xdr:nvPicPr>
        <xdr:cNvPr id="49" name="Picture 91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10334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55</xdr:row>
      <xdr:rowOff>0</xdr:rowOff>
    </xdr:from>
    <xdr:to>
      <xdr:col>15</xdr:col>
      <xdr:colOff>390525</xdr:colOff>
      <xdr:row>55</xdr:row>
      <xdr:rowOff>190500</xdr:rowOff>
    </xdr:to>
    <xdr:pic>
      <xdr:nvPicPr>
        <xdr:cNvPr id="50" name="Picture 92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10334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57</xdr:row>
      <xdr:rowOff>0</xdr:rowOff>
    </xdr:from>
    <xdr:to>
      <xdr:col>15</xdr:col>
      <xdr:colOff>190500</xdr:colOff>
      <xdr:row>58</xdr:row>
      <xdr:rowOff>0</xdr:rowOff>
    </xdr:to>
    <xdr:pic>
      <xdr:nvPicPr>
        <xdr:cNvPr id="51" name="Picture 9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10725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61</xdr:row>
      <xdr:rowOff>0</xdr:rowOff>
    </xdr:from>
    <xdr:to>
      <xdr:col>15</xdr:col>
      <xdr:colOff>190500</xdr:colOff>
      <xdr:row>62</xdr:row>
      <xdr:rowOff>0</xdr:rowOff>
    </xdr:to>
    <xdr:pic>
      <xdr:nvPicPr>
        <xdr:cNvPr id="52" name="Picture 99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11487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62</xdr:row>
      <xdr:rowOff>0</xdr:rowOff>
    </xdr:from>
    <xdr:to>
      <xdr:col>15</xdr:col>
      <xdr:colOff>190500</xdr:colOff>
      <xdr:row>63</xdr:row>
      <xdr:rowOff>0</xdr:rowOff>
    </xdr:to>
    <xdr:pic>
      <xdr:nvPicPr>
        <xdr:cNvPr id="53" name="Picture 101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116776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63</xdr:row>
      <xdr:rowOff>0</xdr:rowOff>
    </xdr:from>
    <xdr:to>
      <xdr:col>15</xdr:col>
      <xdr:colOff>190500</xdr:colOff>
      <xdr:row>64</xdr:row>
      <xdr:rowOff>0</xdr:rowOff>
    </xdr:to>
    <xdr:pic>
      <xdr:nvPicPr>
        <xdr:cNvPr id="54" name="Picture 10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11868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190500</xdr:colOff>
      <xdr:row>66</xdr:row>
      <xdr:rowOff>0</xdr:rowOff>
    </xdr:to>
    <xdr:pic>
      <xdr:nvPicPr>
        <xdr:cNvPr id="55" name="Picture 106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12249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65</xdr:row>
      <xdr:rowOff>0</xdr:rowOff>
    </xdr:from>
    <xdr:to>
      <xdr:col>15</xdr:col>
      <xdr:colOff>390525</xdr:colOff>
      <xdr:row>66</xdr:row>
      <xdr:rowOff>0</xdr:rowOff>
    </xdr:to>
    <xdr:pic>
      <xdr:nvPicPr>
        <xdr:cNvPr id="56" name="Picture 10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12249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66</xdr:row>
      <xdr:rowOff>0</xdr:rowOff>
    </xdr:from>
    <xdr:to>
      <xdr:col>15</xdr:col>
      <xdr:colOff>190500</xdr:colOff>
      <xdr:row>67</xdr:row>
      <xdr:rowOff>0</xdr:rowOff>
    </xdr:to>
    <xdr:pic>
      <xdr:nvPicPr>
        <xdr:cNvPr id="57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124396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67</xdr:row>
      <xdr:rowOff>0</xdr:rowOff>
    </xdr:from>
    <xdr:to>
      <xdr:col>15</xdr:col>
      <xdr:colOff>190500</xdr:colOff>
      <xdr:row>68</xdr:row>
      <xdr:rowOff>0</xdr:rowOff>
    </xdr:to>
    <xdr:pic>
      <xdr:nvPicPr>
        <xdr:cNvPr id="58" name="Picture 111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12630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69</xdr:row>
      <xdr:rowOff>0</xdr:rowOff>
    </xdr:from>
    <xdr:to>
      <xdr:col>15</xdr:col>
      <xdr:colOff>190500</xdr:colOff>
      <xdr:row>69</xdr:row>
      <xdr:rowOff>190500</xdr:rowOff>
    </xdr:to>
    <xdr:pic>
      <xdr:nvPicPr>
        <xdr:cNvPr id="59" name="Picture 11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13011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69</xdr:row>
      <xdr:rowOff>0</xdr:rowOff>
    </xdr:from>
    <xdr:to>
      <xdr:col>15</xdr:col>
      <xdr:colOff>390525</xdr:colOff>
      <xdr:row>69</xdr:row>
      <xdr:rowOff>190500</xdr:rowOff>
    </xdr:to>
    <xdr:pic>
      <xdr:nvPicPr>
        <xdr:cNvPr id="60" name="Picture 115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13011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69</xdr:row>
      <xdr:rowOff>0</xdr:rowOff>
    </xdr:from>
    <xdr:to>
      <xdr:col>15</xdr:col>
      <xdr:colOff>590550</xdr:colOff>
      <xdr:row>69</xdr:row>
      <xdr:rowOff>190500</xdr:rowOff>
    </xdr:to>
    <xdr:pic>
      <xdr:nvPicPr>
        <xdr:cNvPr id="61" name="Picture 116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372600" y="13011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76</xdr:row>
      <xdr:rowOff>0</xdr:rowOff>
    </xdr:from>
    <xdr:to>
      <xdr:col>15</xdr:col>
      <xdr:colOff>190500</xdr:colOff>
      <xdr:row>77</xdr:row>
      <xdr:rowOff>0</xdr:rowOff>
    </xdr:to>
    <xdr:pic>
      <xdr:nvPicPr>
        <xdr:cNvPr id="62" name="Picture 118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13401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190500</xdr:colOff>
      <xdr:row>78</xdr:row>
      <xdr:rowOff>0</xdr:rowOff>
    </xdr:to>
    <xdr:pic>
      <xdr:nvPicPr>
        <xdr:cNvPr id="63" name="Picture 120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13592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80</xdr:row>
      <xdr:rowOff>0</xdr:rowOff>
    </xdr:from>
    <xdr:to>
      <xdr:col>15</xdr:col>
      <xdr:colOff>190500</xdr:colOff>
      <xdr:row>81</xdr:row>
      <xdr:rowOff>0</xdr:rowOff>
    </xdr:to>
    <xdr:pic>
      <xdr:nvPicPr>
        <xdr:cNvPr id="64" name="Picture 124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14163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82</xdr:row>
      <xdr:rowOff>0</xdr:rowOff>
    </xdr:from>
    <xdr:to>
      <xdr:col>15</xdr:col>
      <xdr:colOff>190500</xdr:colOff>
      <xdr:row>83</xdr:row>
      <xdr:rowOff>0</xdr:rowOff>
    </xdr:to>
    <xdr:pic>
      <xdr:nvPicPr>
        <xdr:cNvPr id="65" name="Picture 127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14544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83</xdr:row>
      <xdr:rowOff>0</xdr:rowOff>
    </xdr:from>
    <xdr:to>
      <xdr:col>15</xdr:col>
      <xdr:colOff>190500</xdr:colOff>
      <xdr:row>84</xdr:row>
      <xdr:rowOff>0</xdr:rowOff>
    </xdr:to>
    <xdr:pic>
      <xdr:nvPicPr>
        <xdr:cNvPr id="66" name="Picture 129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14735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84</xdr:row>
      <xdr:rowOff>0</xdr:rowOff>
    </xdr:from>
    <xdr:to>
      <xdr:col>15</xdr:col>
      <xdr:colOff>190500</xdr:colOff>
      <xdr:row>85</xdr:row>
      <xdr:rowOff>0</xdr:rowOff>
    </xdr:to>
    <xdr:pic>
      <xdr:nvPicPr>
        <xdr:cNvPr id="67" name="Picture 131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14925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190500</xdr:colOff>
      <xdr:row>88</xdr:row>
      <xdr:rowOff>0</xdr:rowOff>
    </xdr:to>
    <xdr:pic>
      <xdr:nvPicPr>
        <xdr:cNvPr id="68" name="Picture 135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15497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88</xdr:row>
      <xdr:rowOff>0</xdr:rowOff>
    </xdr:from>
    <xdr:to>
      <xdr:col>15</xdr:col>
      <xdr:colOff>190500</xdr:colOff>
      <xdr:row>88</xdr:row>
      <xdr:rowOff>190500</xdr:rowOff>
    </xdr:to>
    <xdr:pic>
      <xdr:nvPicPr>
        <xdr:cNvPr id="69" name="Picture 137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15687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88</xdr:row>
      <xdr:rowOff>0</xdr:rowOff>
    </xdr:from>
    <xdr:to>
      <xdr:col>15</xdr:col>
      <xdr:colOff>390525</xdr:colOff>
      <xdr:row>88</xdr:row>
      <xdr:rowOff>190500</xdr:rowOff>
    </xdr:to>
    <xdr:pic>
      <xdr:nvPicPr>
        <xdr:cNvPr id="70" name="Picture 138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15687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88</xdr:row>
      <xdr:rowOff>0</xdr:rowOff>
    </xdr:from>
    <xdr:to>
      <xdr:col>15</xdr:col>
      <xdr:colOff>590550</xdr:colOff>
      <xdr:row>88</xdr:row>
      <xdr:rowOff>190500</xdr:rowOff>
    </xdr:to>
    <xdr:pic>
      <xdr:nvPicPr>
        <xdr:cNvPr id="71" name="Picture 139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372600" y="15687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96</xdr:row>
      <xdr:rowOff>0</xdr:rowOff>
    </xdr:from>
    <xdr:to>
      <xdr:col>15</xdr:col>
      <xdr:colOff>190500</xdr:colOff>
      <xdr:row>97</xdr:row>
      <xdr:rowOff>0</xdr:rowOff>
    </xdr:to>
    <xdr:pic>
      <xdr:nvPicPr>
        <xdr:cNvPr id="72" name="Picture 142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16268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96</xdr:row>
      <xdr:rowOff>0</xdr:rowOff>
    </xdr:from>
    <xdr:to>
      <xdr:col>15</xdr:col>
      <xdr:colOff>390525</xdr:colOff>
      <xdr:row>97</xdr:row>
      <xdr:rowOff>0</xdr:rowOff>
    </xdr:to>
    <xdr:pic>
      <xdr:nvPicPr>
        <xdr:cNvPr id="73" name="Picture 143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16268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96</xdr:row>
      <xdr:rowOff>0</xdr:rowOff>
    </xdr:from>
    <xdr:to>
      <xdr:col>15</xdr:col>
      <xdr:colOff>590550</xdr:colOff>
      <xdr:row>97</xdr:row>
      <xdr:rowOff>0</xdr:rowOff>
    </xdr:to>
    <xdr:pic>
      <xdr:nvPicPr>
        <xdr:cNvPr id="74" name="Picture 14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16268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190500</xdr:colOff>
      <xdr:row>98</xdr:row>
      <xdr:rowOff>0</xdr:rowOff>
    </xdr:to>
    <xdr:pic>
      <xdr:nvPicPr>
        <xdr:cNvPr id="75" name="Picture 146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16459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97</xdr:row>
      <xdr:rowOff>0</xdr:rowOff>
    </xdr:from>
    <xdr:to>
      <xdr:col>15</xdr:col>
      <xdr:colOff>390525</xdr:colOff>
      <xdr:row>98</xdr:row>
      <xdr:rowOff>0</xdr:rowOff>
    </xdr:to>
    <xdr:pic>
      <xdr:nvPicPr>
        <xdr:cNvPr id="76" name="Picture 14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16459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103</xdr:row>
      <xdr:rowOff>0</xdr:rowOff>
    </xdr:from>
    <xdr:to>
      <xdr:col>15</xdr:col>
      <xdr:colOff>190500</xdr:colOff>
      <xdr:row>104</xdr:row>
      <xdr:rowOff>0</xdr:rowOff>
    </xdr:to>
    <xdr:pic>
      <xdr:nvPicPr>
        <xdr:cNvPr id="77" name="Picture 154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17602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103</xdr:row>
      <xdr:rowOff>0</xdr:rowOff>
    </xdr:from>
    <xdr:to>
      <xdr:col>15</xdr:col>
      <xdr:colOff>390525</xdr:colOff>
      <xdr:row>104</xdr:row>
      <xdr:rowOff>0</xdr:rowOff>
    </xdr:to>
    <xdr:pic>
      <xdr:nvPicPr>
        <xdr:cNvPr id="78" name="Picture 155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17602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103</xdr:row>
      <xdr:rowOff>0</xdr:rowOff>
    </xdr:from>
    <xdr:to>
      <xdr:col>15</xdr:col>
      <xdr:colOff>590550</xdr:colOff>
      <xdr:row>104</xdr:row>
      <xdr:rowOff>0</xdr:rowOff>
    </xdr:to>
    <xdr:pic>
      <xdr:nvPicPr>
        <xdr:cNvPr id="79" name="Picture 156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17602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104</xdr:row>
      <xdr:rowOff>0</xdr:rowOff>
    </xdr:from>
    <xdr:to>
      <xdr:col>15</xdr:col>
      <xdr:colOff>190500</xdr:colOff>
      <xdr:row>105</xdr:row>
      <xdr:rowOff>0</xdr:rowOff>
    </xdr:to>
    <xdr:pic>
      <xdr:nvPicPr>
        <xdr:cNvPr id="80" name="Picture 158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17792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104</xdr:row>
      <xdr:rowOff>0</xdr:rowOff>
    </xdr:from>
    <xdr:to>
      <xdr:col>15</xdr:col>
      <xdr:colOff>390525</xdr:colOff>
      <xdr:row>105</xdr:row>
      <xdr:rowOff>0</xdr:rowOff>
    </xdr:to>
    <xdr:pic>
      <xdr:nvPicPr>
        <xdr:cNvPr id="81" name="Picture 159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17792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105</xdr:row>
      <xdr:rowOff>0</xdr:rowOff>
    </xdr:from>
    <xdr:to>
      <xdr:col>15</xdr:col>
      <xdr:colOff>190500</xdr:colOff>
      <xdr:row>106</xdr:row>
      <xdr:rowOff>0</xdr:rowOff>
    </xdr:to>
    <xdr:pic>
      <xdr:nvPicPr>
        <xdr:cNvPr id="82" name="Picture 161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17983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105</xdr:row>
      <xdr:rowOff>0</xdr:rowOff>
    </xdr:from>
    <xdr:to>
      <xdr:col>15</xdr:col>
      <xdr:colOff>390525</xdr:colOff>
      <xdr:row>106</xdr:row>
      <xdr:rowOff>0</xdr:rowOff>
    </xdr:to>
    <xdr:pic>
      <xdr:nvPicPr>
        <xdr:cNvPr id="83" name="Picture 162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172575" y="17983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106</xdr:row>
      <xdr:rowOff>0</xdr:rowOff>
    </xdr:from>
    <xdr:to>
      <xdr:col>15</xdr:col>
      <xdr:colOff>190500</xdr:colOff>
      <xdr:row>107</xdr:row>
      <xdr:rowOff>0</xdr:rowOff>
    </xdr:to>
    <xdr:pic>
      <xdr:nvPicPr>
        <xdr:cNvPr id="84" name="Picture 16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18173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106</xdr:row>
      <xdr:rowOff>0</xdr:rowOff>
    </xdr:from>
    <xdr:to>
      <xdr:col>15</xdr:col>
      <xdr:colOff>390525</xdr:colOff>
      <xdr:row>107</xdr:row>
      <xdr:rowOff>0</xdr:rowOff>
    </xdr:to>
    <xdr:pic>
      <xdr:nvPicPr>
        <xdr:cNvPr id="85" name="Picture 165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18173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190500</xdr:colOff>
      <xdr:row>107</xdr:row>
      <xdr:rowOff>190500</xdr:rowOff>
    </xdr:to>
    <xdr:pic>
      <xdr:nvPicPr>
        <xdr:cNvPr id="86" name="Picture 167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18364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107</xdr:row>
      <xdr:rowOff>0</xdr:rowOff>
    </xdr:from>
    <xdr:to>
      <xdr:col>15</xdr:col>
      <xdr:colOff>390525</xdr:colOff>
      <xdr:row>107</xdr:row>
      <xdr:rowOff>190500</xdr:rowOff>
    </xdr:to>
    <xdr:pic>
      <xdr:nvPicPr>
        <xdr:cNvPr id="87" name="Picture 168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18364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107</xdr:row>
      <xdr:rowOff>0</xdr:rowOff>
    </xdr:from>
    <xdr:to>
      <xdr:col>15</xdr:col>
      <xdr:colOff>590550</xdr:colOff>
      <xdr:row>107</xdr:row>
      <xdr:rowOff>190500</xdr:rowOff>
    </xdr:to>
    <xdr:pic>
      <xdr:nvPicPr>
        <xdr:cNvPr id="88" name="Picture 169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18364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114</xdr:row>
      <xdr:rowOff>0</xdr:rowOff>
    </xdr:from>
    <xdr:to>
      <xdr:col>15</xdr:col>
      <xdr:colOff>190500</xdr:colOff>
      <xdr:row>115</xdr:row>
      <xdr:rowOff>0</xdr:rowOff>
    </xdr:to>
    <xdr:pic>
      <xdr:nvPicPr>
        <xdr:cNvPr id="89" name="Picture 171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18754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114</xdr:row>
      <xdr:rowOff>0</xdr:rowOff>
    </xdr:from>
    <xdr:to>
      <xdr:col>15</xdr:col>
      <xdr:colOff>390525</xdr:colOff>
      <xdr:row>115</xdr:row>
      <xdr:rowOff>0</xdr:rowOff>
    </xdr:to>
    <xdr:pic>
      <xdr:nvPicPr>
        <xdr:cNvPr id="90" name="Picture 172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18754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115</xdr:row>
      <xdr:rowOff>0</xdr:rowOff>
    </xdr:from>
    <xdr:to>
      <xdr:col>15</xdr:col>
      <xdr:colOff>190500</xdr:colOff>
      <xdr:row>116</xdr:row>
      <xdr:rowOff>0</xdr:rowOff>
    </xdr:to>
    <xdr:pic>
      <xdr:nvPicPr>
        <xdr:cNvPr id="91" name="Picture 174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18945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116</xdr:row>
      <xdr:rowOff>0</xdr:rowOff>
    </xdr:from>
    <xdr:to>
      <xdr:col>15</xdr:col>
      <xdr:colOff>190500</xdr:colOff>
      <xdr:row>117</xdr:row>
      <xdr:rowOff>0</xdr:rowOff>
    </xdr:to>
    <xdr:pic>
      <xdr:nvPicPr>
        <xdr:cNvPr id="92" name="Picture 176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19135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116</xdr:row>
      <xdr:rowOff>0</xdr:rowOff>
    </xdr:from>
    <xdr:to>
      <xdr:col>15</xdr:col>
      <xdr:colOff>390525</xdr:colOff>
      <xdr:row>117</xdr:row>
      <xdr:rowOff>0</xdr:rowOff>
    </xdr:to>
    <xdr:pic>
      <xdr:nvPicPr>
        <xdr:cNvPr id="93" name="Picture 177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72575" y="19135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117</xdr:row>
      <xdr:rowOff>0</xdr:rowOff>
    </xdr:from>
    <xdr:to>
      <xdr:col>15</xdr:col>
      <xdr:colOff>190500</xdr:colOff>
      <xdr:row>118</xdr:row>
      <xdr:rowOff>0</xdr:rowOff>
    </xdr:to>
    <xdr:pic>
      <xdr:nvPicPr>
        <xdr:cNvPr id="94" name="Picture 179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19326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190500</xdr:colOff>
      <xdr:row>119</xdr:row>
      <xdr:rowOff>0</xdr:rowOff>
    </xdr:to>
    <xdr:pic>
      <xdr:nvPicPr>
        <xdr:cNvPr id="95" name="Picture 181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19516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119</xdr:row>
      <xdr:rowOff>0</xdr:rowOff>
    </xdr:from>
    <xdr:to>
      <xdr:col>15</xdr:col>
      <xdr:colOff>190500</xdr:colOff>
      <xdr:row>120</xdr:row>
      <xdr:rowOff>0</xdr:rowOff>
    </xdr:to>
    <xdr:pic>
      <xdr:nvPicPr>
        <xdr:cNvPr id="96" name="Picture 183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19707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119</xdr:row>
      <xdr:rowOff>0</xdr:rowOff>
    </xdr:from>
    <xdr:to>
      <xdr:col>15</xdr:col>
      <xdr:colOff>390525</xdr:colOff>
      <xdr:row>120</xdr:row>
      <xdr:rowOff>0</xdr:rowOff>
    </xdr:to>
    <xdr:pic>
      <xdr:nvPicPr>
        <xdr:cNvPr id="97" name="Picture 18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19707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120</xdr:row>
      <xdr:rowOff>0</xdr:rowOff>
    </xdr:from>
    <xdr:to>
      <xdr:col>15</xdr:col>
      <xdr:colOff>190500</xdr:colOff>
      <xdr:row>121</xdr:row>
      <xdr:rowOff>0</xdr:rowOff>
    </xdr:to>
    <xdr:pic>
      <xdr:nvPicPr>
        <xdr:cNvPr id="98" name="Picture 18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19897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122</xdr:row>
      <xdr:rowOff>0</xdr:rowOff>
    </xdr:from>
    <xdr:to>
      <xdr:col>15</xdr:col>
      <xdr:colOff>190500</xdr:colOff>
      <xdr:row>123</xdr:row>
      <xdr:rowOff>0</xdr:rowOff>
    </xdr:to>
    <xdr:pic>
      <xdr:nvPicPr>
        <xdr:cNvPr id="99" name="Picture 189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20278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123</xdr:row>
      <xdr:rowOff>0</xdr:rowOff>
    </xdr:from>
    <xdr:to>
      <xdr:col>15</xdr:col>
      <xdr:colOff>190500</xdr:colOff>
      <xdr:row>124</xdr:row>
      <xdr:rowOff>0</xdr:rowOff>
    </xdr:to>
    <xdr:pic>
      <xdr:nvPicPr>
        <xdr:cNvPr id="100" name="Picture 191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20469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123</xdr:row>
      <xdr:rowOff>0</xdr:rowOff>
    </xdr:from>
    <xdr:to>
      <xdr:col>15</xdr:col>
      <xdr:colOff>390525</xdr:colOff>
      <xdr:row>124</xdr:row>
      <xdr:rowOff>0</xdr:rowOff>
    </xdr:to>
    <xdr:pic>
      <xdr:nvPicPr>
        <xdr:cNvPr id="101" name="Picture 192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172575" y="20469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123</xdr:row>
      <xdr:rowOff>0</xdr:rowOff>
    </xdr:from>
    <xdr:to>
      <xdr:col>15</xdr:col>
      <xdr:colOff>590550</xdr:colOff>
      <xdr:row>124</xdr:row>
      <xdr:rowOff>0</xdr:rowOff>
    </xdr:to>
    <xdr:pic>
      <xdr:nvPicPr>
        <xdr:cNvPr id="102" name="Picture 193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372600" y="20469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124</xdr:row>
      <xdr:rowOff>0</xdr:rowOff>
    </xdr:from>
    <xdr:to>
      <xdr:col>15</xdr:col>
      <xdr:colOff>190500</xdr:colOff>
      <xdr:row>125</xdr:row>
      <xdr:rowOff>0</xdr:rowOff>
    </xdr:to>
    <xdr:pic>
      <xdr:nvPicPr>
        <xdr:cNvPr id="103" name="Picture 195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20659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126</xdr:row>
      <xdr:rowOff>0</xdr:rowOff>
    </xdr:from>
    <xdr:to>
      <xdr:col>15</xdr:col>
      <xdr:colOff>190500</xdr:colOff>
      <xdr:row>126</xdr:row>
      <xdr:rowOff>190500</xdr:rowOff>
    </xdr:to>
    <xdr:pic>
      <xdr:nvPicPr>
        <xdr:cNvPr id="104" name="Picture 198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21040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126</xdr:row>
      <xdr:rowOff>0</xdr:rowOff>
    </xdr:from>
    <xdr:to>
      <xdr:col>15</xdr:col>
      <xdr:colOff>390525</xdr:colOff>
      <xdr:row>126</xdr:row>
      <xdr:rowOff>190500</xdr:rowOff>
    </xdr:to>
    <xdr:pic>
      <xdr:nvPicPr>
        <xdr:cNvPr id="105" name="Picture 199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21040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126</xdr:row>
      <xdr:rowOff>0</xdr:rowOff>
    </xdr:from>
    <xdr:to>
      <xdr:col>15</xdr:col>
      <xdr:colOff>590550</xdr:colOff>
      <xdr:row>126</xdr:row>
      <xdr:rowOff>190500</xdr:rowOff>
    </xdr:to>
    <xdr:pic>
      <xdr:nvPicPr>
        <xdr:cNvPr id="106" name="Picture 200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372600" y="21040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126</xdr:row>
      <xdr:rowOff>0</xdr:rowOff>
    </xdr:from>
    <xdr:to>
      <xdr:col>15</xdr:col>
      <xdr:colOff>762000</xdr:colOff>
      <xdr:row>126</xdr:row>
      <xdr:rowOff>190500</xdr:rowOff>
    </xdr:to>
    <xdr:pic>
      <xdr:nvPicPr>
        <xdr:cNvPr id="107" name="Picture 20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572625" y="21040725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129</xdr:row>
      <xdr:rowOff>0</xdr:rowOff>
    </xdr:from>
    <xdr:to>
      <xdr:col>15</xdr:col>
      <xdr:colOff>190500</xdr:colOff>
      <xdr:row>130</xdr:row>
      <xdr:rowOff>0</xdr:rowOff>
    </xdr:to>
    <xdr:pic>
      <xdr:nvPicPr>
        <xdr:cNvPr id="108" name="Picture 204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21621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190500</xdr:colOff>
      <xdr:row>132</xdr:row>
      <xdr:rowOff>0</xdr:rowOff>
    </xdr:to>
    <xdr:pic>
      <xdr:nvPicPr>
        <xdr:cNvPr id="109" name="Picture 207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22002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132</xdr:row>
      <xdr:rowOff>0</xdr:rowOff>
    </xdr:from>
    <xdr:to>
      <xdr:col>15</xdr:col>
      <xdr:colOff>190500</xdr:colOff>
      <xdr:row>133</xdr:row>
      <xdr:rowOff>0</xdr:rowOff>
    </xdr:to>
    <xdr:pic>
      <xdr:nvPicPr>
        <xdr:cNvPr id="110" name="Picture 209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221932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133</xdr:row>
      <xdr:rowOff>0</xdr:rowOff>
    </xdr:from>
    <xdr:to>
      <xdr:col>15</xdr:col>
      <xdr:colOff>190500</xdr:colOff>
      <xdr:row>134</xdr:row>
      <xdr:rowOff>0</xdr:rowOff>
    </xdr:to>
    <xdr:pic>
      <xdr:nvPicPr>
        <xdr:cNvPr id="111" name="Picture 21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22383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134</xdr:row>
      <xdr:rowOff>0</xdr:rowOff>
    </xdr:from>
    <xdr:to>
      <xdr:col>15</xdr:col>
      <xdr:colOff>190500</xdr:colOff>
      <xdr:row>135</xdr:row>
      <xdr:rowOff>0</xdr:rowOff>
    </xdr:to>
    <xdr:pic>
      <xdr:nvPicPr>
        <xdr:cNvPr id="112" name="Picture 213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225742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134</xdr:row>
      <xdr:rowOff>0</xdr:rowOff>
    </xdr:from>
    <xdr:to>
      <xdr:col>15</xdr:col>
      <xdr:colOff>390525</xdr:colOff>
      <xdr:row>135</xdr:row>
      <xdr:rowOff>0</xdr:rowOff>
    </xdr:to>
    <xdr:pic>
      <xdr:nvPicPr>
        <xdr:cNvPr id="113" name="Picture 21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172575" y="225742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190500</xdr:colOff>
      <xdr:row>136</xdr:row>
      <xdr:rowOff>0</xdr:rowOff>
    </xdr:to>
    <xdr:pic>
      <xdr:nvPicPr>
        <xdr:cNvPr id="114" name="Picture 216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22764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135</xdr:row>
      <xdr:rowOff>0</xdr:rowOff>
    </xdr:from>
    <xdr:to>
      <xdr:col>15</xdr:col>
      <xdr:colOff>390525</xdr:colOff>
      <xdr:row>136</xdr:row>
      <xdr:rowOff>0</xdr:rowOff>
    </xdr:to>
    <xdr:pic>
      <xdr:nvPicPr>
        <xdr:cNvPr id="115" name="Picture 217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22764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135</xdr:row>
      <xdr:rowOff>0</xdr:rowOff>
    </xdr:from>
    <xdr:to>
      <xdr:col>15</xdr:col>
      <xdr:colOff>590550</xdr:colOff>
      <xdr:row>136</xdr:row>
      <xdr:rowOff>0</xdr:rowOff>
    </xdr:to>
    <xdr:pic>
      <xdr:nvPicPr>
        <xdr:cNvPr id="116" name="Picture 21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22764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139</xdr:row>
      <xdr:rowOff>0</xdr:rowOff>
    </xdr:from>
    <xdr:to>
      <xdr:col>15</xdr:col>
      <xdr:colOff>190500</xdr:colOff>
      <xdr:row>140</xdr:row>
      <xdr:rowOff>0</xdr:rowOff>
    </xdr:to>
    <xdr:pic>
      <xdr:nvPicPr>
        <xdr:cNvPr id="117" name="Picture 223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23526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139</xdr:row>
      <xdr:rowOff>0</xdr:rowOff>
    </xdr:from>
    <xdr:to>
      <xdr:col>15</xdr:col>
      <xdr:colOff>390525</xdr:colOff>
      <xdr:row>140</xdr:row>
      <xdr:rowOff>0</xdr:rowOff>
    </xdr:to>
    <xdr:pic>
      <xdr:nvPicPr>
        <xdr:cNvPr id="118" name="Picture 224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9172575" y="23526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140</xdr:row>
      <xdr:rowOff>0</xdr:rowOff>
    </xdr:from>
    <xdr:to>
      <xdr:col>15</xdr:col>
      <xdr:colOff>190500</xdr:colOff>
      <xdr:row>140</xdr:row>
      <xdr:rowOff>190500</xdr:rowOff>
    </xdr:to>
    <xdr:pic>
      <xdr:nvPicPr>
        <xdr:cNvPr id="119" name="Picture 226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237172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140</xdr:row>
      <xdr:rowOff>0</xdr:rowOff>
    </xdr:from>
    <xdr:to>
      <xdr:col>15</xdr:col>
      <xdr:colOff>390525</xdr:colOff>
      <xdr:row>140</xdr:row>
      <xdr:rowOff>190500</xdr:rowOff>
    </xdr:to>
    <xdr:pic>
      <xdr:nvPicPr>
        <xdr:cNvPr id="120" name="Picture 227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72575" y="237172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140</xdr:row>
      <xdr:rowOff>0</xdr:rowOff>
    </xdr:from>
    <xdr:to>
      <xdr:col>15</xdr:col>
      <xdr:colOff>590550</xdr:colOff>
      <xdr:row>140</xdr:row>
      <xdr:rowOff>190500</xdr:rowOff>
    </xdr:to>
    <xdr:pic>
      <xdr:nvPicPr>
        <xdr:cNvPr id="121" name="Picture 228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72600" y="237172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140</xdr:row>
      <xdr:rowOff>0</xdr:rowOff>
    </xdr:from>
    <xdr:to>
      <xdr:col>15</xdr:col>
      <xdr:colOff>762000</xdr:colOff>
      <xdr:row>140</xdr:row>
      <xdr:rowOff>190500</xdr:rowOff>
    </xdr:to>
    <xdr:pic>
      <xdr:nvPicPr>
        <xdr:cNvPr id="122" name="Picture 229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572625" y="2371725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140</xdr:row>
      <xdr:rowOff>0</xdr:rowOff>
    </xdr:from>
    <xdr:to>
      <xdr:col>15</xdr:col>
      <xdr:colOff>762000</xdr:colOff>
      <xdr:row>140</xdr:row>
      <xdr:rowOff>190500</xdr:rowOff>
    </xdr:to>
    <xdr:pic>
      <xdr:nvPicPr>
        <xdr:cNvPr id="123" name="Picture 229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572625" y="2371725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147</xdr:row>
      <xdr:rowOff>0</xdr:rowOff>
    </xdr:from>
    <xdr:to>
      <xdr:col>15</xdr:col>
      <xdr:colOff>190500</xdr:colOff>
      <xdr:row>148</xdr:row>
      <xdr:rowOff>0</xdr:rowOff>
    </xdr:to>
    <xdr:pic>
      <xdr:nvPicPr>
        <xdr:cNvPr id="124" name="Picture 231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24107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148</xdr:row>
      <xdr:rowOff>0</xdr:rowOff>
    </xdr:from>
    <xdr:to>
      <xdr:col>15</xdr:col>
      <xdr:colOff>190500</xdr:colOff>
      <xdr:row>149</xdr:row>
      <xdr:rowOff>0</xdr:rowOff>
    </xdr:to>
    <xdr:pic>
      <xdr:nvPicPr>
        <xdr:cNvPr id="125" name="Picture 233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24298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149</xdr:row>
      <xdr:rowOff>0</xdr:rowOff>
    </xdr:from>
    <xdr:to>
      <xdr:col>15</xdr:col>
      <xdr:colOff>190500</xdr:colOff>
      <xdr:row>150</xdr:row>
      <xdr:rowOff>0</xdr:rowOff>
    </xdr:to>
    <xdr:pic>
      <xdr:nvPicPr>
        <xdr:cNvPr id="126" name="Picture 235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24488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150</xdr:row>
      <xdr:rowOff>0</xdr:rowOff>
    </xdr:from>
    <xdr:to>
      <xdr:col>15</xdr:col>
      <xdr:colOff>190500</xdr:colOff>
      <xdr:row>151</xdr:row>
      <xdr:rowOff>0</xdr:rowOff>
    </xdr:to>
    <xdr:pic>
      <xdr:nvPicPr>
        <xdr:cNvPr id="127" name="Picture 237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24679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150</xdr:row>
      <xdr:rowOff>0</xdr:rowOff>
    </xdr:from>
    <xdr:to>
      <xdr:col>15</xdr:col>
      <xdr:colOff>390525</xdr:colOff>
      <xdr:row>151</xdr:row>
      <xdr:rowOff>0</xdr:rowOff>
    </xdr:to>
    <xdr:pic>
      <xdr:nvPicPr>
        <xdr:cNvPr id="128" name="Picture 238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24679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151</xdr:row>
      <xdr:rowOff>0</xdr:rowOff>
    </xdr:from>
    <xdr:to>
      <xdr:col>15</xdr:col>
      <xdr:colOff>190500</xdr:colOff>
      <xdr:row>152</xdr:row>
      <xdr:rowOff>0</xdr:rowOff>
    </xdr:to>
    <xdr:pic>
      <xdr:nvPicPr>
        <xdr:cNvPr id="129" name="Picture 240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24869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152</xdr:row>
      <xdr:rowOff>0</xdr:rowOff>
    </xdr:from>
    <xdr:to>
      <xdr:col>15</xdr:col>
      <xdr:colOff>190500</xdr:colOff>
      <xdr:row>153</xdr:row>
      <xdr:rowOff>0</xdr:rowOff>
    </xdr:to>
    <xdr:pic>
      <xdr:nvPicPr>
        <xdr:cNvPr id="130" name="Picture 24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25060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152</xdr:row>
      <xdr:rowOff>0</xdr:rowOff>
    </xdr:from>
    <xdr:to>
      <xdr:col>15</xdr:col>
      <xdr:colOff>390525</xdr:colOff>
      <xdr:row>153</xdr:row>
      <xdr:rowOff>0</xdr:rowOff>
    </xdr:to>
    <xdr:pic>
      <xdr:nvPicPr>
        <xdr:cNvPr id="131" name="Picture 24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25060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153</xdr:row>
      <xdr:rowOff>0</xdr:rowOff>
    </xdr:from>
    <xdr:to>
      <xdr:col>15</xdr:col>
      <xdr:colOff>190500</xdr:colOff>
      <xdr:row>154</xdr:row>
      <xdr:rowOff>0</xdr:rowOff>
    </xdr:to>
    <xdr:pic>
      <xdr:nvPicPr>
        <xdr:cNvPr id="132" name="Picture 245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25250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153</xdr:row>
      <xdr:rowOff>0</xdr:rowOff>
    </xdr:from>
    <xdr:to>
      <xdr:col>15</xdr:col>
      <xdr:colOff>390525</xdr:colOff>
      <xdr:row>154</xdr:row>
      <xdr:rowOff>0</xdr:rowOff>
    </xdr:to>
    <xdr:pic>
      <xdr:nvPicPr>
        <xdr:cNvPr id="133" name="Picture 246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25250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154</xdr:row>
      <xdr:rowOff>0</xdr:rowOff>
    </xdr:from>
    <xdr:to>
      <xdr:col>15</xdr:col>
      <xdr:colOff>190500</xdr:colOff>
      <xdr:row>155</xdr:row>
      <xdr:rowOff>0</xdr:rowOff>
    </xdr:to>
    <xdr:pic>
      <xdr:nvPicPr>
        <xdr:cNvPr id="134" name="Picture 248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25441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154</xdr:row>
      <xdr:rowOff>0</xdr:rowOff>
    </xdr:from>
    <xdr:to>
      <xdr:col>15</xdr:col>
      <xdr:colOff>390525</xdr:colOff>
      <xdr:row>155</xdr:row>
      <xdr:rowOff>0</xdr:rowOff>
    </xdr:to>
    <xdr:pic>
      <xdr:nvPicPr>
        <xdr:cNvPr id="135" name="Picture 24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25441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154</xdr:row>
      <xdr:rowOff>0</xdr:rowOff>
    </xdr:from>
    <xdr:to>
      <xdr:col>15</xdr:col>
      <xdr:colOff>590550</xdr:colOff>
      <xdr:row>155</xdr:row>
      <xdr:rowOff>0</xdr:rowOff>
    </xdr:to>
    <xdr:pic>
      <xdr:nvPicPr>
        <xdr:cNvPr id="136" name="Picture 250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72600" y="25441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155</xdr:row>
      <xdr:rowOff>0</xdr:rowOff>
    </xdr:from>
    <xdr:to>
      <xdr:col>15</xdr:col>
      <xdr:colOff>190500</xdr:colOff>
      <xdr:row>156</xdr:row>
      <xdr:rowOff>0</xdr:rowOff>
    </xdr:to>
    <xdr:pic>
      <xdr:nvPicPr>
        <xdr:cNvPr id="137" name="Picture 25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25631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156</xdr:row>
      <xdr:rowOff>0</xdr:rowOff>
    </xdr:from>
    <xdr:to>
      <xdr:col>15</xdr:col>
      <xdr:colOff>190500</xdr:colOff>
      <xdr:row>157</xdr:row>
      <xdr:rowOff>0</xdr:rowOff>
    </xdr:to>
    <xdr:pic>
      <xdr:nvPicPr>
        <xdr:cNvPr id="138" name="Picture 25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25822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157</xdr:row>
      <xdr:rowOff>0</xdr:rowOff>
    </xdr:from>
    <xdr:to>
      <xdr:col>15</xdr:col>
      <xdr:colOff>190500</xdr:colOff>
      <xdr:row>158</xdr:row>
      <xdr:rowOff>0</xdr:rowOff>
    </xdr:to>
    <xdr:pic>
      <xdr:nvPicPr>
        <xdr:cNvPr id="139" name="Picture 256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26012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157</xdr:row>
      <xdr:rowOff>0</xdr:rowOff>
    </xdr:from>
    <xdr:to>
      <xdr:col>15</xdr:col>
      <xdr:colOff>390525</xdr:colOff>
      <xdr:row>158</xdr:row>
      <xdr:rowOff>0</xdr:rowOff>
    </xdr:to>
    <xdr:pic>
      <xdr:nvPicPr>
        <xdr:cNvPr id="140" name="Picture 25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26012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157</xdr:row>
      <xdr:rowOff>0</xdr:rowOff>
    </xdr:from>
    <xdr:to>
      <xdr:col>15</xdr:col>
      <xdr:colOff>590550</xdr:colOff>
      <xdr:row>158</xdr:row>
      <xdr:rowOff>0</xdr:rowOff>
    </xdr:to>
    <xdr:pic>
      <xdr:nvPicPr>
        <xdr:cNvPr id="141" name="Picture 25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26012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158</xdr:row>
      <xdr:rowOff>0</xdr:rowOff>
    </xdr:from>
    <xdr:to>
      <xdr:col>15</xdr:col>
      <xdr:colOff>190500</xdr:colOff>
      <xdr:row>159</xdr:row>
      <xdr:rowOff>0</xdr:rowOff>
    </xdr:to>
    <xdr:pic>
      <xdr:nvPicPr>
        <xdr:cNvPr id="142" name="Picture 260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26203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158</xdr:row>
      <xdr:rowOff>0</xdr:rowOff>
    </xdr:from>
    <xdr:to>
      <xdr:col>15</xdr:col>
      <xdr:colOff>390525</xdr:colOff>
      <xdr:row>159</xdr:row>
      <xdr:rowOff>0</xdr:rowOff>
    </xdr:to>
    <xdr:pic>
      <xdr:nvPicPr>
        <xdr:cNvPr id="143" name="Picture 261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26203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159</xdr:row>
      <xdr:rowOff>0</xdr:rowOff>
    </xdr:from>
    <xdr:to>
      <xdr:col>15</xdr:col>
      <xdr:colOff>190500</xdr:colOff>
      <xdr:row>159</xdr:row>
      <xdr:rowOff>190500</xdr:rowOff>
    </xdr:to>
    <xdr:pic>
      <xdr:nvPicPr>
        <xdr:cNvPr id="145" name="Picture 264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26393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159</xdr:row>
      <xdr:rowOff>0</xdr:rowOff>
    </xdr:from>
    <xdr:to>
      <xdr:col>15</xdr:col>
      <xdr:colOff>390525</xdr:colOff>
      <xdr:row>159</xdr:row>
      <xdr:rowOff>190500</xdr:rowOff>
    </xdr:to>
    <xdr:pic>
      <xdr:nvPicPr>
        <xdr:cNvPr id="146" name="Picture 265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26393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159</xdr:row>
      <xdr:rowOff>0</xdr:rowOff>
    </xdr:from>
    <xdr:to>
      <xdr:col>15</xdr:col>
      <xdr:colOff>590550</xdr:colOff>
      <xdr:row>159</xdr:row>
      <xdr:rowOff>190500</xdr:rowOff>
    </xdr:to>
    <xdr:pic>
      <xdr:nvPicPr>
        <xdr:cNvPr id="147" name="Picture 266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72600" y="26393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159</xdr:row>
      <xdr:rowOff>0</xdr:rowOff>
    </xdr:from>
    <xdr:to>
      <xdr:col>15</xdr:col>
      <xdr:colOff>762000</xdr:colOff>
      <xdr:row>159</xdr:row>
      <xdr:rowOff>190500</xdr:rowOff>
    </xdr:to>
    <xdr:pic>
      <xdr:nvPicPr>
        <xdr:cNvPr id="148" name="Picture 267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572625" y="26393775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161</xdr:row>
      <xdr:rowOff>0</xdr:rowOff>
    </xdr:from>
    <xdr:to>
      <xdr:col>15</xdr:col>
      <xdr:colOff>190500</xdr:colOff>
      <xdr:row>162</xdr:row>
      <xdr:rowOff>0</xdr:rowOff>
    </xdr:to>
    <xdr:pic>
      <xdr:nvPicPr>
        <xdr:cNvPr id="149" name="Picture 269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26784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161</xdr:row>
      <xdr:rowOff>0</xdr:rowOff>
    </xdr:from>
    <xdr:to>
      <xdr:col>15</xdr:col>
      <xdr:colOff>390525</xdr:colOff>
      <xdr:row>162</xdr:row>
      <xdr:rowOff>0</xdr:rowOff>
    </xdr:to>
    <xdr:pic>
      <xdr:nvPicPr>
        <xdr:cNvPr id="150" name="Picture 270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26784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161</xdr:row>
      <xdr:rowOff>0</xdr:rowOff>
    </xdr:from>
    <xdr:to>
      <xdr:col>15</xdr:col>
      <xdr:colOff>590550</xdr:colOff>
      <xdr:row>162</xdr:row>
      <xdr:rowOff>0</xdr:rowOff>
    </xdr:to>
    <xdr:pic>
      <xdr:nvPicPr>
        <xdr:cNvPr id="151" name="Picture 271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72600" y="26784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162</xdr:row>
      <xdr:rowOff>0</xdr:rowOff>
    </xdr:from>
    <xdr:to>
      <xdr:col>15</xdr:col>
      <xdr:colOff>190500</xdr:colOff>
      <xdr:row>163</xdr:row>
      <xdr:rowOff>0</xdr:rowOff>
    </xdr:to>
    <xdr:pic>
      <xdr:nvPicPr>
        <xdr:cNvPr id="152" name="Picture 273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8972550" y="26974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163</xdr:row>
      <xdr:rowOff>0</xdr:rowOff>
    </xdr:from>
    <xdr:to>
      <xdr:col>15</xdr:col>
      <xdr:colOff>190500</xdr:colOff>
      <xdr:row>164</xdr:row>
      <xdr:rowOff>0</xdr:rowOff>
    </xdr:to>
    <xdr:pic>
      <xdr:nvPicPr>
        <xdr:cNvPr id="153" name="Picture 275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27165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164</xdr:row>
      <xdr:rowOff>0</xdr:rowOff>
    </xdr:from>
    <xdr:to>
      <xdr:col>15</xdr:col>
      <xdr:colOff>190500</xdr:colOff>
      <xdr:row>165</xdr:row>
      <xdr:rowOff>0</xdr:rowOff>
    </xdr:to>
    <xdr:pic>
      <xdr:nvPicPr>
        <xdr:cNvPr id="154" name="Picture 27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27355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164</xdr:row>
      <xdr:rowOff>0</xdr:rowOff>
    </xdr:from>
    <xdr:to>
      <xdr:col>15</xdr:col>
      <xdr:colOff>390525</xdr:colOff>
      <xdr:row>165</xdr:row>
      <xdr:rowOff>0</xdr:rowOff>
    </xdr:to>
    <xdr:pic>
      <xdr:nvPicPr>
        <xdr:cNvPr id="155" name="Picture 27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27355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165</xdr:row>
      <xdr:rowOff>0</xdr:rowOff>
    </xdr:from>
    <xdr:to>
      <xdr:col>15</xdr:col>
      <xdr:colOff>190500</xdr:colOff>
      <xdr:row>166</xdr:row>
      <xdr:rowOff>0</xdr:rowOff>
    </xdr:to>
    <xdr:pic>
      <xdr:nvPicPr>
        <xdr:cNvPr id="156" name="Picture 280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27546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166</xdr:row>
      <xdr:rowOff>0</xdr:rowOff>
    </xdr:from>
    <xdr:to>
      <xdr:col>15</xdr:col>
      <xdr:colOff>190500</xdr:colOff>
      <xdr:row>167</xdr:row>
      <xdr:rowOff>0</xdr:rowOff>
    </xdr:to>
    <xdr:pic>
      <xdr:nvPicPr>
        <xdr:cNvPr id="157" name="Picture 282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27736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167</xdr:row>
      <xdr:rowOff>0</xdr:rowOff>
    </xdr:from>
    <xdr:to>
      <xdr:col>15</xdr:col>
      <xdr:colOff>190500</xdr:colOff>
      <xdr:row>168</xdr:row>
      <xdr:rowOff>0</xdr:rowOff>
    </xdr:to>
    <xdr:pic>
      <xdr:nvPicPr>
        <xdr:cNvPr id="158" name="Picture 284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27927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168</xdr:row>
      <xdr:rowOff>0</xdr:rowOff>
    </xdr:from>
    <xdr:to>
      <xdr:col>15</xdr:col>
      <xdr:colOff>190500</xdr:colOff>
      <xdr:row>169</xdr:row>
      <xdr:rowOff>0</xdr:rowOff>
    </xdr:to>
    <xdr:pic>
      <xdr:nvPicPr>
        <xdr:cNvPr id="159" name="Picture 286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28117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168</xdr:row>
      <xdr:rowOff>0</xdr:rowOff>
    </xdr:from>
    <xdr:to>
      <xdr:col>15</xdr:col>
      <xdr:colOff>390525</xdr:colOff>
      <xdr:row>169</xdr:row>
      <xdr:rowOff>0</xdr:rowOff>
    </xdr:to>
    <xdr:pic>
      <xdr:nvPicPr>
        <xdr:cNvPr id="160" name="Picture 287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28117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169</xdr:row>
      <xdr:rowOff>0</xdr:rowOff>
    </xdr:from>
    <xdr:to>
      <xdr:col>15</xdr:col>
      <xdr:colOff>190500</xdr:colOff>
      <xdr:row>170</xdr:row>
      <xdr:rowOff>0</xdr:rowOff>
    </xdr:to>
    <xdr:pic>
      <xdr:nvPicPr>
        <xdr:cNvPr id="161" name="Picture 289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28308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170</xdr:row>
      <xdr:rowOff>0</xdr:rowOff>
    </xdr:from>
    <xdr:to>
      <xdr:col>15</xdr:col>
      <xdr:colOff>190500</xdr:colOff>
      <xdr:row>171</xdr:row>
      <xdr:rowOff>0</xdr:rowOff>
    </xdr:to>
    <xdr:pic>
      <xdr:nvPicPr>
        <xdr:cNvPr id="162" name="Picture 291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28498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170</xdr:row>
      <xdr:rowOff>0</xdr:rowOff>
    </xdr:from>
    <xdr:to>
      <xdr:col>15</xdr:col>
      <xdr:colOff>390525</xdr:colOff>
      <xdr:row>171</xdr:row>
      <xdr:rowOff>0</xdr:rowOff>
    </xdr:to>
    <xdr:pic>
      <xdr:nvPicPr>
        <xdr:cNvPr id="163" name="Picture 292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28498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170</xdr:row>
      <xdr:rowOff>0</xdr:rowOff>
    </xdr:from>
    <xdr:to>
      <xdr:col>15</xdr:col>
      <xdr:colOff>590550</xdr:colOff>
      <xdr:row>171</xdr:row>
      <xdr:rowOff>0</xdr:rowOff>
    </xdr:to>
    <xdr:pic>
      <xdr:nvPicPr>
        <xdr:cNvPr id="164" name="Picture 29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28498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171</xdr:row>
      <xdr:rowOff>0</xdr:rowOff>
    </xdr:from>
    <xdr:to>
      <xdr:col>15</xdr:col>
      <xdr:colOff>190500</xdr:colOff>
      <xdr:row>172</xdr:row>
      <xdr:rowOff>0</xdr:rowOff>
    </xdr:to>
    <xdr:pic>
      <xdr:nvPicPr>
        <xdr:cNvPr id="165" name="Picture 295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28689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171</xdr:row>
      <xdr:rowOff>0</xdr:rowOff>
    </xdr:from>
    <xdr:to>
      <xdr:col>15</xdr:col>
      <xdr:colOff>390525</xdr:colOff>
      <xdr:row>172</xdr:row>
      <xdr:rowOff>0</xdr:rowOff>
    </xdr:to>
    <xdr:pic>
      <xdr:nvPicPr>
        <xdr:cNvPr id="166" name="Picture 296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28689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172</xdr:row>
      <xdr:rowOff>0</xdr:rowOff>
    </xdr:from>
    <xdr:to>
      <xdr:col>15</xdr:col>
      <xdr:colOff>190500</xdr:colOff>
      <xdr:row>173</xdr:row>
      <xdr:rowOff>0</xdr:rowOff>
    </xdr:to>
    <xdr:pic>
      <xdr:nvPicPr>
        <xdr:cNvPr id="167" name="Picture 298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28879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172</xdr:row>
      <xdr:rowOff>0</xdr:rowOff>
    </xdr:from>
    <xdr:to>
      <xdr:col>15</xdr:col>
      <xdr:colOff>390525</xdr:colOff>
      <xdr:row>173</xdr:row>
      <xdr:rowOff>0</xdr:rowOff>
    </xdr:to>
    <xdr:pic>
      <xdr:nvPicPr>
        <xdr:cNvPr id="168" name="Picture 299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28879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172</xdr:row>
      <xdr:rowOff>0</xdr:rowOff>
    </xdr:from>
    <xdr:to>
      <xdr:col>15</xdr:col>
      <xdr:colOff>590550</xdr:colOff>
      <xdr:row>173</xdr:row>
      <xdr:rowOff>0</xdr:rowOff>
    </xdr:to>
    <xdr:pic>
      <xdr:nvPicPr>
        <xdr:cNvPr id="169" name="Picture 300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28879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173</xdr:row>
      <xdr:rowOff>0</xdr:rowOff>
    </xdr:from>
    <xdr:to>
      <xdr:col>15</xdr:col>
      <xdr:colOff>190500</xdr:colOff>
      <xdr:row>173</xdr:row>
      <xdr:rowOff>190500</xdr:rowOff>
    </xdr:to>
    <xdr:pic>
      <xdr:nvPicPr>
        <xdr:cNvPr id="170" name="Picture 30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29070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173</xdr:row>
      <xdr:rowOff>0</xdr:rowOff>
    </xdr:from>
    <xdr:to>
      <xdr:col>15</xdr:col>
      <xdr:colOff>390525</xdr:colOff>
      <xdr:row>173</xdr:row>
      <xdr:rowOff>190500</xdr:rowOff>
    </xdr:to>
    <xdr:pic>
      <xdr:nvPicPr>
        <xdr:cNvPr id="171" name="Picture 303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29070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173</xdr:row>
      <xdr:rowOff>0</xdr:rowOff>
    </xdr:from>
    <xdr:to>
      <xdr:col>15</xdr:col>
      <xdr:colOff>590550</xdr:colOff>
      <xdr:row>173</xdr:row>
      <xdr:rowOff>190500</xdr:rowOff>
    </xdr:to>
    <xdr:pic>
      <xdr:nvPicPr>
        <xdr:cNvPr id="172" name="Picture 304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372600" y="29070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173</xdr:row>
      <xdr:rowOff>0</xdr:rowOff>
    </xdr:from>
    <xdr:to>
      <xdr:col>15</xdr:col>
      <xdr:colOff>762000</xdr:colOff>
      <xdr:row>173</xdr:row>
      <xdr:rowOff>190500</xdr:rowOff>
    </xdr:to>
    <xdr:pic>
      <xdr:nvPicPr>
        <xdr:cNvPr id="173" name="Picture 305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572625" y="2907030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180</xdr:row>
      <xdr:rowOff>0</xdr:rowOff>
    </xdr:from>
    <xdr:to>
      <xdr:col>15</xdr:col>
      <xdr:colOff>190500</xdr:colOff>
      <xdr:row>181</xdr:row>
      <xdr:rowOff>0</xdr:rowOff>
    </xdr:to>
    <xdr:pic>
      <xdr:nvPicPr>
        <xdr:cNvPr id="174" name="Picture 30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29460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180</xdr:row>
      <xdr:rowOff>0</xdr:rowOff>
    </xdr:from>
    <xdr:to>
      <xdr:col>15</xdr:col>
      <xdr:colOff>390525</xdr:colOff>
      <xdr:row>181</xdr:row>
      <xdr:rowOff>0</xdr:rowOff>
    </xdr:to>
    <xdr:pic>
      <xdr:nvPicPr>
        <xdr:cNvPr id="175" name="Picture 30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29460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183</xdr:row>
      <xdr:rowOff>0</xdr:rowOff>
    </xdr:from>
    <xdr:to>
      <xdr:col>15</xdr:col>
      <xdr:colOff>190500</xdr:colOff>
      <xdr:row>184</xdr:row>
      <xdr:rowOff>0</xdr:rowOff>
    </xdr:to>
    <xdr:pic>
      <xdr:nvPicPr>
        <xdr:cNvPr id="176" name="Picture 312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30032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183</xdr:row>
      <xdr:rowOff>0</xdr:rowOff>
    </xdr:from>
    <xdr:to>
      <xdr:col>15</xdr:col>
      <xdr:colOff>390525</xdr:colOff>
      <xdr:row>184</xdr:row>
      <xdr:rowOff>0</xdr:rowOff>
    </xdr:to>
    <xdr:pic>
      <xdr:nvPicPr>
        <xdr:cNvPr id="177" name="Picture 31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30032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185</xdr:row>
      <xdr:rowOff>0</xdr:rowOff>
    </xdr:from>
    <xdr:to>
      <xdr:col>15</xdr:col>
      <xdr:colOff>190500</xdr:colOff>
      <xdr:row>186</xdr:row>
      <xdr:rowOff>0</xdr:rowOff>
    </xdr:to>
    <xdr:pic>
      <xdr:nvPicPr>
        <xdr:cNvPr id="178" name="Picture 31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30413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186</xdr:row>
      <xdr:rowOff>0</xdr:rowOff>
    </xdr:from>
    <xdr:to>
      <xdr:col>15</xdr:col>
      <xdr:colOff>190500</xdr:colOff>
      <xdr:row>187</xdr:row>
      <xdr:rowOff>0</xdr:rowOff>
    </xdr:to>
    <xdr:pic>
      <xdr:nvPicPr>
        <xdr:cNvPr id="179" name="Picture 318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30603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186</xdr:row>
      <xdr:rowOff>0</xdr:rowOff>
    </xdr:from>
    <xdr:to>
      <xdr:col>15</xdr:col>
      <xdr:colOff>390525</xdr:colOff>
      <xdr:row>187</xdr:row>
      <xdr:rowOff>0</xdr:rowOff>
    </xdr:to>
    <xdr:pic>
      <xdr:nvPicPr>
        <xdr:cNvPr id="180" name="Picture 319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30603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187</xdr:row>
      <xdr:rowOff>0</xdr:rowOff>
    </xdr:from>
    <xdr:to>
      <xdr:col>15</xdr:col>
      <xdr:colOff>190500</xdr:colOff>
      <xdr:row>188</xdr:row>
      <xdr:rowOff>0</xdr:rowOff>
    </xdr:to>
    <xdr:pic>
      <xdr:nvPicPr>
        <xdr:cNvPr id="181" name="Picture 321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0794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187</xdr:row>
      <xdr:rowOff>0</xdr:rowOff>
    </xdr:from>
    <xdr:to>
      <xdr:col>15</xdr:col>
      <xdr:colOff>390525</xdr:colOff>
      <xdr:row>188</xdr:row>
      <xdr:rowOff>0</xdr:rowOff>
    </xdr:to>
    <xdr:pic>
      <xdr:nvPicPr>
        <xdr:cNvPr id="182" name="Picture 32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30794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188</xdr:row>
      <xdr:rowOff>0</xdr:rowOff>
    </xdr:from>
    <xdr:to>
      <xdr:col>15</xdr:col>
      <xdr:colOff>190500</xdr:colOff>
      <xdr:row>189</xdr:row>
      <xdr:rowOff>0</xdr:rowOff>
    </xdr:to>
    <xdr:pic>
      <xdr:nvPicPr>
        <xdr:cNvPr id="183" name="Picture 32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0984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188</xdr:row>
      <xdr:rowOff>0</xdr:rowOff>
    </xdr:from>
    <xdr:to>
      <xdr:col>15</xdr:col>
      <xdr:colOff>390525</xdr:colOff>
      <xdr:row>189</xdr:row>
      <xdr:rowOff>0</xdr:rowOff>
    </xdr:to>
    <xdr:pic>
      <xdr:nvPicPr>
        <xdr:cNvPr id="184" name="Picture 325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172575" y="30984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189</xdr:row>
      <xdr:rowOff>0</xdr:rowOff>
    </xdr:from>
    <xdr:to>
      <xdr:col>15</xdr:col>
      <xdr:colOff>190500</xdr:colOff>
      <xdr:row>190</xdr:row>
      <xdr:rowOff>0</xdr:rowOff>
    </xdr:to>
    <xdr:pic>
      <xdr:nvPicPr>
        <xdr:cNvPr id="185" name="Picture 327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1175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189</xdr:row>
      <xdr:rowOff>0</xdr:rowOff>
    </xdr:from>
    <xdr:to>
      <xdr:col>15</xdr:col>
      <xdr:colOff>390525</xdr:colOff>
      <xdr:row>190</xdr:row>
      <xdr:rowOff>0</xdr:rowOff>
    </xdr:to>
    <xdr:pic>
      <xdr:nvPicPr>
        <xdr:cNvPr id="186" name="Picture 32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31175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190</xdr:row>
      <xdr:rowOff>0</xdr:rowOff>
    </xdr:from>
    <xdr:to>
      <xdr:col>15</xdr:col>
      <xdr:colOff>190500</xdr:colOff>
      <xdr:row>191</xdr:row>
      <xdr:rowOff>0</xdr:rowOff>
    </xdr:to>
    <xdr:pic>
      <xdr:nvPicPr>
        <xdr:cNvPr id="187" name="Picture 330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31365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190</xdr:row>
      <xdr:rowOff>0</xdr:rowOff>
    </xdr:from>
    <xdr:to>
      <xdr:col>15</xdr:col>
      <xdr:colOff>390525</xdr:colOff>
      <xdr:row>191</xdr:row>
      <xdr:rowOff>0</xdr:rowOff>
    </xdr:to>
    <xdr:pic>
      <xdr:nvPicPr>
        <xdr:cNvPr id="188" name="Picture 331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31365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192</xdr:row>
      <xdr:rowOff>0</xdr:rowOff>
    </xdr:from>
    <xdr:to>
      <xdr:col>15</xdr:col>
      <xdr:colOff>190500</xdr:colOff>
      <xdr:row>192</xdr:row>
      <xdr:rowOff>190500</xdr:rowOff>
    </xdr:to>
    <xdr:pic>
      <xdr:nvPicPr>
        <xdr:cNvPr id="189" name="Picture 33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31746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200</xdr:row>
      <xdr:rowOff>0</xdr:rowOff>
    </xdr:from>
    <xdr:to>
      <xdr:col>15</xdr:col>
      <xdr:colOff>190500</xdr:colOff>
      <xdr:row>201</xdr:row>
      <xdr:rowOff>0</xdr:rowOff>
    </xdr:to>
    <xdr:pic>
      <xdr:nvPicPr>
        <xdr:cNvPr id="190" name="Picture 33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323278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201</xdr:row>
      <xdr:rowOff>0</xdr:rowOff>
    </xdr:from>
    <xdr:to>
      <xdr:col>15</xdr:col>
      <xdr:colOff>190500</xdr:colOff>
      <xdr:row>202</xdr:row>
      <xdr:rowOff>0</xdr:rowOff>
    </xdr:to>
    <xdr:pic>
      <xdr:nvPicPr>
        <xdr:cNvPr id="191" name="Picture 339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8972550" y="325183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202</xdr:row>
      <xdr:rowOff>0</xdr:rowOff>
    </xdr:from>
    <xdr:to>
      <xdr:col>15</xdr:col>
      <xdr:colOff>190500</xdr:colOff>
      <xdr:row>202</xdr:row>
      <xdr:rowOff>190500</xdr:rowOff>
    </xdr:to>
    <xdr:pic>
      <xdr:nvPicPr>
        <xdr:cNvPr id="192" name="Picture 34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327088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208</xdr:row>
      <xdr:rowOff>0</xdr:rowOff>
    </xdr:from>
    <xdr:to>
      <xdr:col>15</xdr:col>
      <xdr:colOff>190500</xdr:colOff>
      <xdr:row>209</xdr:row>
      <xdr:rowOff>0</xdr:rowOff>
    </xdr:to>
    <xdr:pic>
      <xdr:nvPicPr>
        <xdr:cNvPr id="193" name="Picture 34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33099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209</xdr:row>
      <xdr:rowOff>0</xdr:rowOff>
    </xdr:from>
    <xdr:to>
      <xdr:col>15</xdr:col>
      <xdr:colOff>190500</xdr:colOff>
      <xdr:row>210</xdr:row>
      <xdr:rowOff>0</xdr:rowOff>
    </xdr:to>
    <xdr:pic>
      <xdr:nvPicPr>
        <xdr:cNvPr id="194" name="Picture 345" descr="Greift pro Runde vier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8972550" y="332898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210</xdr:row>
      <xdr:rowOff>0</xdr:rowOff>
    </xdr:from>
    <xdr:to>
      <xdr:col>15</xdr:col>
      <xdr:colOff>190500</xdr:colOff>
      <xdr:row>211</xdr:row>
      <xdr:rowOff>0</xdr:rowOff>
    </xdr:to>
    <xdr:pic>
      <xdr:nvPicPr>
        <xdr:cNvPr id="195" name="Picture 347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33480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214</xdr:row>
      <xdr:rowOff>0</xdr:rowOff>
    </xdr:from>
    <xdr:to>
      <xdr:col>15</xdr:col>
      <xdr:colOff>190500</xdr:colOff>
      <xdr:row>215</xdr:row>
      <xdr:rowOff>0</xdr:rowOff>
    </xdr:to>
    <xdr:pic>
      <xdr:nvPicPr>
        <xdr:cNvPr id="196" name="Picture 35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34242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215</xdr:row>
      <xdr:rowOff>0</xdr:rowOff>
    </xdr:from>
    <xdr:to>
      <xdr:col>15</xdr:col>
      <xdr:colOff>190500</xdr:colOff>
      <xdr:row>216</xdr:row>
      <xdr:rowOff>0</xdr:rowOff>
    </xdr:to>
    <xdr:pic>
      <xdr:nvPicPr>
        <xdr:cNvPr id="197" name="Picture 354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344328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215</xdr:row>
      <xdr:rowOff>0</xdr:rowOff>
    </xdr:from>
    <xdr:to>
      <xdr:col>15</xdr:col>
      <xdr:colOff>390525</xdr:colOff>
      <xdr:row>216</xdr:row>
      <xdr:rowOff>0</xdr:rowOff>
    </xdr:to>
    <xdr:pic>
      <xdr:nvPicPr>
        <xdr:cNvPr id="198" name="Picture 355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172575" y="344328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216</xdr:row>
      <xdr:rowOff>0</xdr:rowOff>
    </xdr:from>
    <xdr:to>
      <xdr:col>15</xdr:col>
      <xdr:colOff>190500</xdr:colOff>
      <xdr:row>217</xdr:row>
      <xdr:rowOff>0</xdr:rowOff>
    </xdr:to>
    <xdr:pic>
      <xdr:nvPicPr>
        <xdr:cNvPr id="199" name="Picture 357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4623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216</xdr:row>
      <xdr:rowOff>0</xdr:rowOff>
    </xdr:from>
    <xdr:to>
      <xdr:col>15</xdr:col>
      <xdr:colOff>390525</xdr:colOff>
      <xdr:row>217</xdr:row>
      <xdr:rowOff>0</xdr:rowOff>
    </xdr:to>
    <xdr:pic>
      <xdr:nvPicPr>
        <xdr:cNvPr id="200" name="Picture 358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172575" y="34623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216</xdr:row>
      <xdr:rowOff>0</xdr:rowOff>
    </xdr:from>
    <xdr:to>
      <xdr:col>15</xdr:col>
      <xdr:colOff>590550</xdr:colOff>
      <xdr:row>217</xdr:row>
      <xdr:rowOff>0</xdr:rowOff>
    </xdr:to>
    <xdr:pic>
      <xdr:nvPicPr>
        <xdr:cNvPr id="201" name="Picture 359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72600" y="34623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218</xdr:row>
      <xdr:rowOff>0</xdr:rowOff>
    </xdr:from>
    <xdr:to>
      <xdr:col>15</xdr:col>
      <xdr:colOff>190500</xdr:colOff>
      <xdr:row>219</xdr:row>
      <xdr:rowOff>0</xdr:rowOff>
    </xdr:to>
    <xdr:pic>
      <xdr:nvPicPr>
        <xdr:cNvPr id="202" name="Picture 362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35004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219</xdr:row>
      <xdr:rowOff>0</xdr:rowOff>
    </xdr:from>
    <xdr:to>
      <xdr:col>15</xdr:col>
      <xdr:colOff>190500</xdr:colOff>
      <xdr:row>220</xdr:row>
      <xdr:rowOff>0</xdr:rowOff>
    </xdr:to>
    <xdr:pic>
      <xdr:nvPicPr>
        <xdr:cNvPr id="203" name="Picture 364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351948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190500</xdr:colOff>
      <xdr:row>220</xdr:row>
      <xdr:rowOff>190500</xdr:rowOff>
    </xdr:to>
    <xdr:pic>
      <xdr:nvPicPr>
        <xdr:cNvPr id="205" name="Picture 367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35385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220</xdr:row>
      <xdr:rowOff>0</xdr:rowOff>
    </xdr:from>
    <xdr:to>
      <xdr:col>15</xdr:col>
      <xdr:colOff>390525</xdr:colOff>
      <xdr:row>220</xdr:row>
      <xdr:rowOff>190500</xdr:rowOff>
    </xdr:to>
    <xdr:pic>
      <xdr:nvPicPr>
        <xdr:cNvPr id="206" name="Picture 368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35385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220</xdr:row>
      <xdr:rowOff>0</xdr:rowOff>
    </xdr:from>
    <xdr:to>
      <xdr:col>15</xdr:col>
      <xdr:colOff>590550</xdr:colOff>
      <xdr:row>220</xdr:row>
      <xdr:rowOff>190500</xdr:rowOff>
    </xdr:to>
    <xdr:pic>
      <xdr:nvPicPr>
        <xdr:cNvPr id="207" name="Picture 369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35385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223</xdr:row>
      <xdr:rowOff>0</xdr:rowOff>
    </xdr:from>
    <xdr:to>
      <xdr:col>15</xdr:col>
      <xdr:colOff>190500</xdr:colOff>
      <xdr:row>224</xdr:row>
      <xdr:rowOff>0</xdr:rowOff>
    </xdr:to>
    <xdr:pic>
      <xdr:nvPicPr>
        <xdr:cNvPr id="208" name="Picture 37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35966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224</xdr:row>
      <xdr:rowOff>0</xdr:rowOff>
    </xdr:from>
    <xdr:to>
      <xdr:col>15</xdr:col>
      <xdr:colOff>190500</xdr:colOff>
      <xdr:row>225</xdr:row>
      <xdr:rowOff>0</xdr:rowOff>
    </xdr:to>
    <xdr:pic>
      <xdr:nvPicPr>
        <xdr:cNvPr id="209" name="Picture 374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6156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190500</xdr:colOff>
      <xdr:row>226</xdr:row>
      <xdr:rowOff>0</xdr:rowOff>
    </xdr:to>
    <xdr:pic>
      <xdr:nvPicPr>
        <xdr:cNvPr id="210" name="Picture 376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6347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225</xdr:row>
      <xdr:rowOff>0</xdr:rowOff>
    </xdr:from>
    <xdr:to>
      <xdr:col>15</xdr:col>
      <xdr:colOff>390525</xdr:colOff>
      <xdr:row>226</xdr:row>
      <xdr:rowOff>0</xdr:rowOff>
    </xdr:to>
    <xdr:pic>
      <xdr:nvPicPr>
        <xdr:cNvPr id="211" name="Picture 377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36347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226</xdr:row>
      <xdr:rowOff>0</xdr:rowOff>
    </xdr:from>
    <xdr:to>
      <xdr:col>15</xdr:col>
      <xdr:colOff>190500</xdr:colOff>
      <xdr:row>227</xdr:row>
      <xdr:rowOff>0</xdr:rowOff>
    </xdr:to>
    <xdr:pic>
      <xdr:nvPicPr>
        <xdr:cNvPr id="212" name="Picture 379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6537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227</xdr:row>
      <xdr:rowOff>0</xdr:rowOff>
    </xdr:from>
    <xdr:to>
      <xdr:col>15</xdr:col>
      <xdr:colOff>190500</xdr:colOff>
      <xdr:row>228</xdr:row>
      <xdr:rowOff>0</xdr:rowOff>
    </xdr:to>
    <xdr:pic>
      <xdr:nvPicPr>
        <xdr:cNvPr id="213" name="Picture 381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6728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227</xdr:row>
      <xdr:rowOff>0</xdr:rowOff>
    </xdr:from>
    <xdr:to>
      <xdr:col>15</xdr:col>
      <xdr:colOff>390525</xdr:colOff>
      <xdr:row>228</xdr:row>
      <xdr:rowOff>0</xdr:rowOff>
    </xdr:to>
    <xdr:pic>
      <xdr:nvPicPr>
        <xdr:cNvPr id="214" name="Picture 382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172575" y="36728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228</xdr:row>
      <xdr:rowOff>0</xdr:rowOff>
    </xdr:from>
    <xdr:to>
      <xdr:col>15</xdr:col>
      <xdr:colOff>190500</xdr:colOff>
      <xdr:row>229</xdr:row>
      <xdr:rowOff>0</xdr:rowOff>
    </xdr:to>
    <xdr:pic>
      <xdr:nvPicPr>
        <xdr:cNvPr id="215" name="Picture 38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6918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228</xdr:row>
      <xdr:rowOff>0</xdr:rowOff>
    </xdr:from>
    <xdr:to>
      <xdr:col>15</xdr:col>
      <xdr:colOff>390525</xdr:colOff>
      <xdr:row>229</xdr:row>
      <xdr:rowOff>0</xdr:rowOff>
    </xdr:to>
    <xdr:pic>
      <xdr:nvPicPr>
        <xdr:cNvPr id="216" name="Picture 385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36918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229</xdr:row>
      <xdr:rowOff>0</xdr:rowOff>
    </xdr:from>
    <xdr:to>
      <xdr:col>15</xdr:col>
      <xdr:colOff>190500</xdr:colOff>
      <xdr:row>230</xdr:row>
      <xdr:rowOff>0</xdr:rowOff>
    </xdr:to>
    <xdr:pic>
      <xdr:nvPicPr>
        <xdr:cNvPr id="217" name="Picture 387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7109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229</xdr:row>
      <xdr:rowOff>0</xdr:rowOff>
    </xdr:from>
    <xdr:to>
      <xdr:col>15</xdr:col>
      <xdr:colOff>390525</xdr:colOff>
      <xdr:row>230</xdr:row>
      <xdr:rowOff>0</xdr:rowOff>
    </xdr:to>
    <xdr:pic>
      <xdr:nvPicPr>
        <xdr:cNvPr id="218" name="Picture 388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37109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190500</xdr:colOff>
      <xdr:row>231</xdr:row>
      <xdr:rowOff>0</xdr:rowOff>
    </xdr:to>
    <xdr:pic>
      <xdr:nvPicPr>
        <xdr:cNvPr id="219" name="Picture 390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7299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230</xdr:row>
      <xdr:rowOff>0</xdr:rowOff>
    </xdr:from>
    <xdr:to>
      <xdr:col>15</xdr:col>
      <xdr:colOff>390525</xdr:colOff>
      <xdr:row>231</xdr:row>
      <xdr:rowOff>0</xdr:rowOff>
    </xdr:to>
    <xdr:pic>
      <xdr:nvPicPr>
        <xdr:cNvPr id="220" name="Picture 391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172575" y="37299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230</xdr:row>
      <xdr:rowOff>0</xdr:rowOff>
    </xdr:from>
    <xdr:to>
      <xdr:col>15</xdr:col>
      <xdr:colOff>581025</xdr:colOff>
      <xdr:row>231</xdr:row>
      <xdr:rowOff>0</xdr:rowOff>
    </xdr:to>
    <xdr:pic>
      <xdr:nvPicPr>
        <xdr:cNvPr id="221" name="Picture 39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191750" y="44043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231</xdr:row>
      <xdr:rowOff>0</xdr:rowOff>
    </xdr:from>
    <xdr:to>
      <xdr:col>15</xdr:col>
      <xdr:colOff>190500</xdr:colOff>
      <xdr:row>232</xdr:row>
      <xdr:rowOff>0</xdr:rowOff>
    </xdr:to>
    <xdr:pic>
      <xdr:nvPicPr>
        <xdr:cNvPr id="222" name="Picture 39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7490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231</xdr:row>
      <xdr:rowOff>0</xdr:rowOff>
    </xdr:from>
    <xdr:to>
      <xdr:col>15</xdr:col>
      <xdr:colOff>390525</xdr:colOff>
      <xdr:row>232</xdr:row>
      <xdr:rowOff>0</xdr:rowOff>
    </xdr:to>
    <xdr:pic>
      <xdr:nvPicPr>
        <xdr:cNvPr id="223" name="Picture 395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172575" y="37490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232</xdr:row>
      <xdr:rowOff>0</xdr:rowOff>
    </xdr:from>
    <xdr:to>
      <xdr:col>15</xdr:col>
      <xdr:colOff>190500</xdr:colOff>
      <xdr:row>233</xdr:row>
      <xdr:rowOff>0</xdr:rowOff>
    </xdr:to>
    <xdr:pic>
      <xdr:nvPicPr>
        <xdr:cNvPr id="224" name="Picture 397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7680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232</xdr:row>
      <xdr:rowOff>0</xdr:rowOff>
    </xdr:from>
    <xdr:to>
      <xdr:col>15</xdr:col>
      <xdr:colOff>390525</xdr:colOff>
      <xdr:row>233</xdr:row>
      <xdr:rowOff>0</xdr:rowOff>
    </xdr:to>
    <xdr:pic>
      <xdr:nvPicPr>
        <xdr:cNvPr id="225" name="Picture 398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37680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233</xdr:row>
      <xdr:rowOff>0</xdr:rowOff>
    </xdr:from>
    <xdr:to>
      <xdr:col>15</xdr:col>
      <xdr:colOff>190500</xdr:colOff>
      <xdr:row>234</xdr:row>
      <xdr:rowOff>0</xdr:rowOff>
    </xdr:to>
    <xdr:pic>
      <xdr:nvPicPr>
        <xdr:cNvPr id="226" name="Picture 400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7871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233</xdr:row>
      <xdr:rowOff>0</xdr:rowOff>
    </xdr:from>
    <xdr:to>
      <xdr:col>15</xdr:col>
      <xdr:colOff>390525</xdr:colOff>
      <xdr:row>234</xdr:row>
      <xdr:rowOff>0</xdr:rowOff>
    </xdr:to>
    <xdr:pic>
      <xdr:nvPicPr>
        <xdr:cNvPr id="227" name="Picture 40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37871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234</xdr:row>
      <xdr:rowOff>0</xdr:rowOff>
    </xdr:from>
    <xdr:to>
      <xdr:col>15</xdr:col>
      <xdr:colOff>190500</xdr:colOff>
      <xdr:row>234</xdr:row>
      <xdr:rowOff>190500</xdr:rowOff>
    </xdr:to>
    <xdr:pic>
      <xdr:nvPicPr>
        <xdr:cNvPr id="228" name="Picture 40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8061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234</xdr:row>
      <xdr:rowOff>0</xdr:rowOff>
    </xdr:from>
    <xdr:to>
      <xdr:col>15</xdr:col>
      <xdr:colOff>390525</xdr:colOff>
      <xdr:row>234</xdr:row>
      <xdr:rowOff>190500</xdr:rowOff>
    </xdr:to>
    <xdr:pic>
      <xdr:nvPicPr>
        <xdr:cNvPr id="229" name="Picture 404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38061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234</xdr:row>
      <xdr:rowOff>0</xdr:rowOff>
    </xdr:from>
    <xdr:to>
      <xdr:col>15</xdr:col>
      <xdr:colOff>590550</xdr:colOff>
      <xdr:row>234</xdr:row>
      <xdr:rowOff>190500</xdr:rowOff>
    </xdr:to>
    <xdr:pic>
      <xdr:nvPicPr>
        <xdr:cNvPr id="230" name="Picture 405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372600" y="38061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234</xdr:row>
      <xdr:rowOff>0</xdr:rowOff>
    </xdr:from>
    <xdr:to>
      <xdr:col>15</xdr:col>
      <xdr:colOff>762000</xdr:colOff>
      <xdr:row>234</xdr:row>
      <xdr:rowOff>190500</xdr:rowOff>
    </xdr:to>
    <xdr:pic>
      <xdr:nvPicPr>
        <xdr:cNvPr id="231" name="Picture 406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572625" y="3806190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236</xdr:row>
      <xdr:rowOff>0</xdr:rowOff>
    </xdr:from>
    <xdr:to>
      <xdr:col>15</xdr:col>
      <xdr:colOff>190500</xdr:colOff>
      <xdr:row>237</xdr:row>
      <xdr:rowOff>0</xdr:rowOff>
    </xdr:to>
    <xdr:pic>
      <xdr:nvPicPr>
        <xdr:cNvPr id="232" name="Picture 408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8452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238</xdr:row>
      <xdr:rowOff>0</xdr:rowOff>
    </xdr:from>
    <xdr:to>
      <xdr:col>15</xdr:col>
      <xdr:colOff>190500</xdr:colOff>
      <xdr:row>239</xdr:row>
      <xdr:rowOff>0</xdr:rowOff>
    </xdr:to>
    <xdr:pic>
      <xdr:nvPicPr>
        <xdr:cNvPr id="233" name="Picture 411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8833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238</xdr:row>
      <xdr:rowOff>0</xdr:rowOff>
    </xdr:from>
    <xdr:to>
      <xdr:col>15</xdr:col>
      <xdr:colOff>390525</xdr:colOff>
      <xdr:row>239</xdr:row>
      <xdr:rowOff>0</xdr:rowOff>
    </xdr:to>
    <xdr:pic>
      <xdr:nvPicPr>
        <xdr:cNvPr id="234" name="Picture 412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38833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239</xdr:row>
      <xdr:rowOff>0</xdr:rowOff>
    </xdr:from>
    <xdr:to>
      <xdr:col>15</xdr:col>
      <xdr:colOff>190500</xdr:colOff>
      <xdr:row>240</xdr:row>
      <xdr:rowOff>0</xdr:rowOff>
    </xdr:to>
    <xdr:pic>
      <xdr:nvPicPr>
        <xdr:cNvPr id="235" name="Picture 414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9023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240</xdr:row>
      <xdr:rowOff>0</xdr:rowOff>
    </xdr:from>
    <xdr:to>
      <xdr:col>15</xdr:col>
      <xdr:colOff>190500</xdr:colOff>
      <xdr:row>241</xdr:row>
      <xdr:rowOff>0</xdr:rowOff>
    </xdr:to>
    <xdr:pic>
      <xdr:nvPicPr>
        <xdr:cNvPr id="236" name="Picture 416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9214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240</xdr:row>
      <xdr:rowOff>0</xdr:rowOff>
    </xdr:from>
    <xdr:to>
      <xdr:col>15</xdr:col>
      <xdr:colOff>390525</xdr:colOff>
      <xdr:row>241</xdr:row>
      <xdr:rowOff>0</xdr:rowOff>
    </xdr:to>
    <xdr:pic>
      <xdr:nvPicPr>
        <xdr:cNvPr id="237" name="Picture 41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39214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241</xdr:row>
      <xdr:rowOff>0</xdr:rowOff>
    </xdr:from>
    <xdr:to>
      <xdr:col>15</xdr:col>
      <xdr:colOff>190500</xdr:colOff>
      <xdr:row>242</xdr:row>
      <xdr:rowOff>0</xdr:rowOff>
    </xdr:to>
    <xdr:pic>
      <xdr:nvPicPr>
        <xdr:cNvPr id="238" name="Picture 419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9404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241</xdr:row>
      <xdr:rowOff>0</xdr:rowOff>
    </xdr:from>
    <xdr:to>
      <xdr:col>15</xdr:col>
      <xdr:colOff>390525</xdr:colOff>
      <xdr:row>242</xdr:row>
      <xdr:rowOff>0</xdr:rowOff>
    </xdr:to>
    <xdr:pic>
      <xdr:nvPicPr>
        <xdr:cNvPr id="239" name="Picture 420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39404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242</xdr:row>
      <xdr:rowOff>0</xdr:rowOff>
    </xdr:from>
    <xdr:to>
      <xdr:col>15</xdr:col>
      <xdr:colOff>190500</xdr:colOff>
      <xdr:row>243</xdr:row>
      <xdr:rowOff>0</xdr:rowOff>
    </xdr:to>
    <xdr:pic>
      <xdr:nvPicPr>
        <xdr:cNvPr id="240" name="Picture 422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39595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243</xdr:row>
      <xdr:rowOff>0</xdr:rowOff>
    </xdr:from>
    <xdr:to>
      <xdr:col>15</xdr:col>
      <xdr:colOff>190500</xdr:colOff>
      <xdr:row>244</xdr:row>
      <xdr:rowOff>0</xdr:rowOff>
    </xdr:to>
    <xdr:pic>
      <xdr:nvPicPr>
        <xdr:cNvPr id="241" name="Picture 424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9785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244</xdr:row>
      <xdr:rowOff>0</xdr:rowOff>
    </xdr:from>
    <xdr:to>
      <xdr:col>15</xdr:col>
      <xdr:colOff>190500</xdr:colOff>
      <xdr:row>245</xdr:row>
      <xdr:rowOff>0</xdr:rowOff>
    </xdr:to>
    <xdr:pic>
      <xdr:nvPicPr>
        <xdr:cNvPr id="242" name="Picture 426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9976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245</xdr:row>
      <xdr:rowOff>0</xdr:rowOff>
    </xdr:from>
    <xdr:to>
      <xdr:col>15</xdr:col>
      <xdr:colOff>190500</xdr:colOff>
      <xdr:row>246</xdr:row>
      <xdr:rowOff>0</xdr:rowOff>
    </xdr:to>
    <xdr:pic>
      <xdr:nvPicPr>
        <xdr:cNvPr id="243" name="Picture 428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40166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245</xdr:row>
      <xdr:rowOff>0</xdr:rowOff>
    </xdr:from>
    <xdr:to>
      <xdr:col>15</xdr:col>
      <xdr:colOff>390525</xdr:colOff>
      <xdr:row>246</xdr:row>
      <xdr:rowOff>0</xdr:rowOff>
    </xdr:to>
    <xdr:pic>
      <xdr:nvPicPr>
        <xdr:cNvPr id="244" name="Picture 42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40166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245</xdr:row>
      <xdr:rowOff>0</xdr:rowOff>
    </xdr:from>
    <xdr:to>
      <xdr:col>15</xdr:col>
      <xdr:colOff>590550</xdr:colOff>
      <xdr:row>246</xdr:row>
      <xdr:rowOff>0</xdr:rowOff>
    </xdr:to>
    <xdr:pic>
      <xdr:nvPicPr>
        <xdr:cNvPr id="245" name="Picture 430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372600" y="40166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246</xdr:row>
      <xdr:rowOff>0</xdr:rowOff>
    </xdr:from>
    <xdr:to>
      <xdr:col>15</xdr:col>
      <xdr:colOff>190500</xdr:colOff>
      <xdr:row>247</xdr:row>
      <xdr:rowOff>0</xdr:rowOff>
    </xdr:to>
    <xdr:pic>
      <xdr:nvPicPr>
        <xdr:cNvPr id="247" name="Picture 433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40357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247</xdr:row>
      <xdr:rowOff>0</xdr:rowOff>
    </xdr:from>
    <xdr:to>
      <xdr:col>15</xdr:col>
      <xdr:colOff>190500</xdr:colOff>
      <xdr:row>247</xdr:row>
      <xdr:rowOff>190500</xdr:rowOff>
    </xdr:to>
    <xdr:pic>
      <xdr:nvPicPr>
        <xdr:cNvPr id="248" name="Picture 435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40547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247</xdr:row>
      <xdr:rowOff>0</xdr:rowOff>
    </xdr:from>
    <xdr:to>
      <xdr:col>15</xdr:col>
      <xdr:colOff>390525</xdr:colOff>
      <xdr:row>247</xdr:row>
      <xdr:rowOff>190500</xdr:rowOff>
    </xdr:to>
    <xdr:pic>
      <xdr:nvPicPr>
        <xdr:cNvPr id="249" name="Picture 436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72575" y="40547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247</xdr:row>
      <xdr:rowOff>0</xdr:rowOff>
    </xdr:from>
    <xdr:to>
      <xdr:col>15</xdr:col>
      <xdr:colOff>590550</xdr:colOff>
      <xdr:row>247</xdr:row>
      <xdr:rowOff>190500</xdr:rowOff>
    </xdr:to>
    <xdr:pic>
      <xdr:nvPicPr>
        <xdr:cNvPr id="250" name="Picture 437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372600" y="40547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247</xdr:row>
      <xdr:rowOff>0</xdr:rowOff>
    </xdr:from>
    <xdr:to>
      <xdr:col>15</xdr:col>
      <xdr:colOff>762000</xdr:colOff>
      <xdr:row>247</xdr:row>
      <xdr:rowOff>190500</xdr:rowOff>
    </xdr:to>
    <xdr:pic>
      <xdr:nvPicPr>
        <xdr:cNvPr id="251" name="Picture 438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572625" y="40547925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249</xdr:row>
      <xdr:rowOff>0</xdr:rowOff>
    </xdr:from>
    <xdr:to>
      <xdr:col>15</xdr:col>
      <xdr:colOff>190500</xdr:colOff>
      <xdr:row>250</xdr:row>
      <xdr:rowOff>0</xdr:rowOff>
    </xdr:to>
    <xdr:pic>
      <xdr:nvPicPr>
        <xdr:cNvPr id="253" name="Picture 441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0938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250</xdr:row>
      <xdr:rowOff>0</xdr:rowOff>
    </xdr:from>
    <xdr:to>
      <xdr:col>15</xdr:col>
      <xdr:colOff>190500</xdr:colOff>
      <xdr:row>251</xdr:row>
      <xdr:rowOff>0</xdr:rowOff>
    </xdr:to>
    <xdr:pic>
      <xdr:nvPicPr>
        <xdr:cNvPr id="254" name="Picture 44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1128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250</xdr:row>
      <xdr:rowOff>0</xdr:rowOff>
    </xdr:from>
    <xdr:to>
      <xdr:col>15</xdr:col>
      <xdr:colOff>390525</xdr:colOff>
      <xdr:row>251</xdr:row>
      <xdr:rowOff>0</xdr:rowOff>
    </xdr:to>
    <xdr:pic>
      <xdr:nvPicPr>
        <xdr:cNvPr id="255" name="Picture 444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172575" y="41128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251</xdr:row>
      <xdr:rowOff>0</xdr:rowOff>
    </xdr:from>
    <xdr:to>
      <xdr:col>15</xdr:col>
      <xdr:colOff>190500</xdr:colOff>
      <xdr:row>252</xdr:row>
      <xdr:rowOff>0</xdr:rowOff>
    </xdr:to>
    <xdr:pic>
      <xdr:nvPicPr>
        <xdr:cNvPr id="256" name="Picture 446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1319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251</xdr:row>
      <xdr:rowOff>0</xdr:rowOff>
    </xdr:from>
    <xdr:to>
      <xdr:col>15</xdr:col>
      <xdr:colOff>390525</xdr:colOff>
      <xdr:row>252</xdr:row>
      <xdr:rowOff>0</xdr:rowOff>
    </xdr:to>
    <xdr:pic>
      <xdr:nvPicPr>
        <xdr:cNvPr id="257" name="Picture 447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41319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252</xdr:row>
      <xdr:rowOff>0</xdr:rowOff>
    </xdr:from>
    <xdr:to>
      <xdr:col>15</xdr:col>
      <xdr:colOff>190500</xdr:colOff>
      <xdr:row>253</xdr:row>
      <xdr:rowOff>0</xdr:rowOff>
    </xdr:to>
    <xdr:pic>
      <xdr:nvPicPr>
        <xdr:cNvPr id="258" name="Picture 449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41509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253</xdr:row>
      <xdr:rowOff>0</xdr:rowOff>
    </xdr:from>
    <xdr:to>
      <xdr:col>15</xdr:col>
      <xdr:colOff>190500</xdr:colOff>
      <xdr:row>254</xdr:row>
      <xdr:rowOff>0</xdr:rowOff>
    </xdr:to>
    <xdr:pic>
      <xdr:nvPicPr>
        <xdr:cNvPr id="259" name="Picture 451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41700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255</xdr:row>
      <xdr:rowOff>0</xdr:rowOff>
    </xdr:from>
    <xdr:to>
      <xdr:col>15</xdr:col>
      <xdr:colOff>190500</xdr:colOff>
      <xdr:row>256</xdr:row>
      <xdr:rowOff>0</xdr:rowOff>
    </xdr:to>
    <xdr:pic>
      <xdr:nvPicPr>
        <xdr:cNvPr id="260" name="Picture 454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42081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256</xdr:row>
      <xdr:rowOff>0</xdr:rowOff>
    </xdr:from>
    <xdr:to>
      <xdr:col>15</xdr:col>
      <xdr:colOff>190500</xdr:colOff>
      <xdr:row>257</xdr:row>
      <xdr:rowOff>0</xdr:rowOff>
    </xdr:to>
    <xdr:pic>
      <xdr:nvPicPr>
        <xdr:cNvPr id="261" name="Picture 456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2271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257</xdr:row>
      <xdr:rowOff>0</xdr:rowOff>
    </xdr:from>
    <xdr:to>
      <xdr:col>15</xdr:col>
      <xdr:colOff>190500</xdr:colOff>
      <xdr:row>258</xdr:row>
      <xdr:rowOff>0</xdr:rowOff>
    </xdr:to>
    <xdr:pic>
      <xdr:nvPicPr>
        <xdr:cNvPr id="262" name="Picture 458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2462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258</xdr:row>
      <xdr:rowOff>0</xdr:rowOff>
    </xdr:from>
    <xdr:to>
      <xdr:col>15</xdr:col>
      <xdr:colOff>190500</xdr:colOff>
      <xdr:row>259</xdr:row>
      <xdr:rowOff>0</xdr:rowOff>
    </xdr:to>
    <xdr:pic>
      <xdr:nvPicPr>
        <xdr:cNvPr id="263" name="Picture 460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2652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258</xdr:row>
      <xdr:rowOff>0</xdr:rowOff>
    </xdr:from>
    <xdr:to>
      <xdr:col>15</xdr:col>
      <xdr:colOff>390525</xdr:colOff>
      <xdr:row>259</xdr:row>
      <xdr:rowOff>0</xdr:rowOff>
    </xdr:to>
    <xdr:pic>
      <xdr:nvPicPr>
        <xdr:cNvPr id="264" name="Picture 461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72575" y="42652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259</xdr:row>
      <xdr:rowOff>0</xdr:rowOff>
    </xdr:from>
    <xdr:to>
      <xdr:col>15</xdr:col>
      <xdr:colOff>190500</xdr:colOff>
      <xdr:row>260</xdr:row>
      <xdr:rowOff>0</xdr:rowOff>
    </xdr:to>
    <xdr:pic>
      <xdr:nvPicPr>
        <xdr:cNvPr id="265" name="Picture 46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2843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260</xdr:row>
      <xdr:rowOff>0</xdr:rowOff>
    </xdr:from>
    <xdr:to>
      <xdr:col>15</xdr:col>
      <xdr:colOff>190500</xdr:colOff>
      <xdr:row>261</xdr:row>
      <xdr:rowOff>0</xdr:rowOff>
    </xdr:to>
    <xdr:pic>
      <xdr:nvPicPr>
        <xdr:cNvPr id="266" name="Picture 465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43033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261</xdr:row>
      <xdr:rowOff>0</xdr:rowOff>
    </xdr:from>
    <xdr:to>
      <xdr:col>15</xdr:col>
      <xdr:colOff>190500</xdr:colOff>
      <xdr:row>261</xdr:row>
      <xdr:rowOff>190500</xdr:rowOff>
    </xdr:to>
    <xdr:pic>
      <xdr:nvPicPr>
        <xdr:cNvPr id="267" name="Picture 467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43224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261</xdr:row>
      <xdr:rowOff>0</xdr:rowOff>
    </xdr:from>
    <xdr:to>
      <xdr:col>15</xdr:col>
      <xdr:colOff>390525</xdr:colOff>
      <xdr:row>261</xdr:row>
      <xdr:rowOff>190500</xdr:rowOff>
    </xdr:to>
    <xdr:pic>
      <xdr:nvPicPr>
        <xdr:cNvPr id="268" name="Picture 468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43224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261</xdr:row>
      <xdr:rowOff>0</xdr:rowOff>
    </xdr:from>
    <xdr:to>
      <xdr:col>15</xdr:col>
      <xdr:colOff>590550</xdr:colOff>
      <xdr:row>261</xdr:row>
      <xdr:rowOff>190500</xdr:rowOff>
    </xdr:to>
    <xdr:pic>
      <xdr:nvPicPr>
        <xdr:cNvPr id="269" name="Picture 469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72600" y="43224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263</xdr:row>
      <xdr:rowOff>0</xdr:rowOff>
    </xdr:from>
    <xdr:to>
      <xdr:col>15</xdr:col>
      <xdr:colOff>190500</xdr:colOff>
      <xdr:row>264</xdr:row>
      <xdr:rowOff>0</xdr:rowOff>
    </xdr:to>
    <xdr:pic>
      <xdr:nvPicPr>
        <xdr:cNvPr id="270" name="Picture 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3614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263</xdr:row>
      <xdr:rowOff>0</xdr:rowOff>
    </xdr:from>
    <xdr:to>
      <xdr:col>15</xdr:col>
      <xdr:colOff>390525</xdr:colOff>
      <xdr:row>264</xdr:row>
      <xdr:rowOff>0</xdr:rowOff>
    </xdr:to>
    <xdr:pic>
      <xdr:nvPicPr>
        <xdr:cNvPr id="271" name="Picture 3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9172575" y="43614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264</xdr:row>
      <xdr:rowOff>0</xdr:rowOff>
    </xdr:from>
    <xdr:to>
      <xdr:col>15</xdr:col>
      <xdr:colOff>190500</xdr:colOff>
      <xdr:row>265</xdr:row>
      <xdr:rowOff>0</xdr:rowOff>
    </xdr:to>
    <xdr:pic>
      <xdr:nvPicPr>
        <xdr:cNvPr id="272" name="Picture 5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43805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265</xdr:row>
      <xdr:rowOff>0</xdr:rowOff>
    </xdr:from>
    <xdr:to>
      <xdr:col>15</xdr:col>
      <xdr:colOff>190500</xdr:colOff>
      <xdr:row>266</xdr:row>
      <xdr:rowOff>0</xdr:rowOff>
    </xdr:to>
    <xdr:pic>
      <xdr:nvPicPr>
        <xdr:cNvPr id="273" name="Picture 7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43995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265</xdr:row>
      <xdr:rowOff>0</xdr:rowOff>
    </xdr:from>
    <xdr:to>
      <xdr:col>15</xdr:col>
      <xdr:colOff>390525</xdr:colOff>
      <xdr:row>266</xdr:row>
      <xdr:rowOff>0</xdr:rowOff>
    </xdr:to>
    <xdr:pic>
      <xdr:nvPicPr>
        <xdr:cNvPr id="274" name="Picture 8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43995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265</xdr:row>
      <xdr:rowOff>0</xdr:rowOff>
    </xdr:from>
    <xdr:to>
      <xdr:col>15</xdr:col>
      <xdr:colOff>590550</xdr:colOff>
      <xdr:row>266</xdr:row>
      <xdr:rowOff>0</xdr:rowOff>
    </xdr:to>
    <xdr:pic>
      <xdr:nvPicPr>
        <xdr:cNvPr id="275" name="Picture 9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372600" y="43995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266</xdr:row>
      <xdr:rowOff>0</xdr:rowOff>
    </xdr:from>
    <xdr:to>
      <xdr:col>15</xdr:col>
      <xdr:colOff>190500</xdr:colOff>
      <xdr:row>267</xdr:row>
      <xdr:rowOff>0</xdr:rowOff>
    </xdr:to>
    <xdr:pic>
      <xdr:nvPicPr>
        <xdr:cNvPr id="276" name="Picture 11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44186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266</xdr:row>
      <xdr:rowOff>0</xdr:rowOff>
    </xdr:from>
    <xdr:to>
      <xdr:col>15</xdr:col>
      <xdr:colOff>390525</xdr:colOff>
      <xdr:row>267</xdr:row>
      <xdr:rowOff>0</xdr:rowOff>
    </xdr:to>
    <xdr:pic>
      <xdr:nvPicPr>
        <xdr:cNvPr id="277" name="Picture 1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44186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267</xdr:row>
      <xdr:rowOff>0</xdr:rowOff>
    </xdr:from>
    <xdr:to>
      <xdr:col>15</xdr:col>
      <xdr:colOff>190500</xdr:colOff>
      <xdr:row>268</xdr:row>
      <xdr:rowOff>0</xdr:rowOff>
    </xdr:to>
    <xdr:pic>
      <xdr:nvPicPr>
        <xdr:cNvPr id="278" name="Picture 14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4376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267</xdr:row>
      <xdr:rowOff>0</xdr:rowOff>
    </xdr:from>
    <xdr:to>
      <xdr:col>15</xdr:col>
      <xdr:colOff>390525</xdr:colOff>
      <xdr:row>268</xdr:row>
      <xdr:rowOff>0</xdr:rowOff>
    </xdr:to>
    <xdr:pic>
      <xdr:nvPicPr>
        <xdr:cNvPr id="279" name="Picture 15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44376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268</xdr:row>
      <xdr:rowOff>0</xdr:rowOff>
    </xdr:from>
    <xdr:to>
      <xdr:col>15</xdr:col>
      <xdr:colOff>190500</xdr:colOff>
      <xdr:row>268</xdr:row>
      <xdr:rowOff>190500</xdr:rowOff>
    </xdr:to>
    <xdr:pic>
      <xdr:nvPicPr>
        <xdr:cNvPr id="280" name="Picture 17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4567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268</xdr:row>
      <xdr:rowOff>0</xdr:rowOff>
    </xdr:from>
    <xdr:to>
      <xdr:col>15</xdr:col>
      <xdr:colOff>390525</xdr:colOff>
      <xdr:row>268</xdr:row>
      <xdr:rowOff>190500</xdr:rowOff>
    </xdr:to>
    <xdr:pic>
      <xdr:nvPicPr>
        <xdr:cNvPr id="281" name="Picture 18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44567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268</xdr:row>
      <xdr:rowOff>0</xdr:rowOff>
    </xdr:from>
    <xdr:to>
      <xdr:col>15</xdr:col>
      <xdr:colOff>590550</xdr:colOff>
      <xdr:row>268</xdr:row>
      <xdr:rowOff>190500</xdr:rowOff>
    </xdr:to>
    <xdr:pic>
      <xdr:nvPicPr>
        <xdr:cNvPr id="282" name="Picture 19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372600" y="44567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819150</xdr:colOff>
      <xdr:row>268</xdr:row>
      <xdr:rowOff>0</xdr:rowOff>
    </xdr:from>
    <xdr:to>
      <xdr:col>15</xdr:col>
      <xdr:colOff>819150</xdr:colOff>
      <xdr:row>268</xdr:row>
      <xdr:rowOff>190500</xdr:rowOff>
    </xdr:to>
    <xdr:pic>
      <xdr:nvPicPr>
        <xdr:cNvPr id="283" name="Picture 21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791700" y="44567475"/>
          <a:ext cx="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268</xdr:row>
      <xdr:rowOff>9525</xdr:rowOff>
    </xdr:from>
    <xdr:to>
      <xdr:col>15</xdr:col>
      <xdr:colOff>762000</xdr:colOff>
      <xdr:row>268</xdr:row>
      <xdr:rowOff>190500</xdr:rowOff>
    </xdr:to>
    <xdr:pic>
      <xdr:nvPicPr>
        <xdr:cNvPr id="284" name="Picture 9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572625" y="44577000"/>
          <a:ext cx="1619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281</xdr:row>
      <xdr:rowOff>0</xdr:rowOff>
    </xdr:from>
    <xdr:to>
      <xdr:col>15</xdr:col>
      <xdr:colOff>190500</xdr:colOff>
      <xdr:row>282</xdr:row>
      <xdr:rowOff>0</xdr:rowOff>
    </xdr:to>
    <xdr:pic>
      <xdr:nvPicPr>
        <xdr:cNvPr id="285" name="Picture 24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972550" y="45148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281</xdr:row>
      <xdr:rowOff>0</xdr:rowOff>
    </xdr:from>
    <xdr:to>
      <xdr:col>15</xdr:col>
      <xdr:colOff>390525</xdr:colOff>
      <xdr:row>282</xdr:row>
      <xdr:rowOff>0</xdr:rowOff>
    </xdr:to>
    <xdr:pic>
      <xdr:nvPicPr>
        <xdr:cNvPr id="286" name="Picture 25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172575" y="45148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282</xdr:row>
      <xdr:rowOff>0</xdr:rowOff>
    </xdr:from>
    <xdr:to>
      <xdr:col>15</xdr:col>
      <xdr:colOff>190500</xdr:colOff>
      <xdr:row>283</xdr:row>
      <xdr:rowOff>0</xdr:rowOff>
    </xdr:to>
    <xdr:pic>
      <xdr:nvPicPr>
        <xdr:cNvPr id="287" name="Picture 27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45339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282</xdr:row>
      <xdr:rowOff>0</xdr:rowOff>
    </xdr:from>
    <xdr:to>
      <xdr:col>15</xdr:col>
      <xdr:colOff>390525</xdr:colOff>
      <xdr:row>283</xdr:row>
      <xdr:rowOff>0</xdr:rowOff>
    </xdr:to>
    <xdr:pic>
      <xdr:nvPicPr>
        <xdr:cNvPr id="288" name="Picture 28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172575" y="45339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283</xdr:row>
      <xdr:rowOff>0</xdr:rowOff>
    </xdr:from>
    <xdr:to>
      <xdr:col>15</xdr:col>
      <xdr:colOff>190500</xdr:colOff>
      <xdr:row>284</xdr:row>
      <xdr:rowOff>0</xdr:rowOff>
    </xdr:to>
    <xdr:pic>
      <xdr:nvPicPr>
        <xdr:cNvPr id="289" name="Picture 30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45529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283</xdr:row>
      <xdr:rowOff>0</xdr:rowOff>
    </xdr:from>
    <xdr:to>
      <xdr:col>15</xdr:col>
      <xdr:colOff>390525</xdr:colOff>
      <xdr:row>284</xdr:row>
      <xdr:rowOff>0</xdr:rowOff>
    </xdr:to>
    <xdr:pic>
      <xdr:nvPicPr>
        <xdr:cNvPr id="290" name="Picture 31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172575" y="45529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284</xdr:row>
      <xdr:rowOff>0</xdr:rowOff>
    </xdr:from>
    <xdr:to>
      <xdr:col>15</xdr:col>
      <xdr:colOff>190500</xdr:colOff>
      <xdr:row>285</xdr:row>
      <xdr:rowOff>0</xdr:rowOff>
    </xdr:to>
    <xdr:pic>
      <xdr:nvPicPr>
        <xdr:cNvPr id="291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5720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284</xdr:row>
      <xdr:rowOff>0</xdr:rowOff>
    </xdr:from>
    <xdr:to>
      <xdr:col>15</xdr:col>
      <xdr:colOff>390525</xdr:colOff>
      <xdr:row>285</xdr:row>
      <xdr:rowOff>0</xdr:rowOff>
    </xdr:to>
    <xdr:pic>
      <xdr:nvPicPr>
        <xdr:cNvPr id="292" name="Picture 34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172575" y="45720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285</xdr:row>
      <xdr:rowOff>0</xdr:rowOff>
    </xdr:from>
    <xdr:to>
      <xdr:col>15</xdr:col>
      <xdr:colOff>190500</xdr:colOff>
      <xdr:row>286</xdr:row>
      <xdr:rowOff>0</xdr:rowOff>
    </xdr:to>
    <xdr:pic>
      <xdr:nvPicPr>
        <xdr:cNvPr id="293" name="Picture 3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45910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285</xdr:row>
      <xdr:rowOff>0</xdr:rowOff>
    </xdr:from>
    <xdr:to>
      <xdr:col>15</xdr:col>
      <xdr:colOff>390525</xdr:colOff>
      <xdr:row>286</xdr:row>
      <xdr:rowOff>0</xdr:rowOff>
    </xdr:to>
    <xdr:pic>
      <xdr:nvPicPr>
        <xdr:cNvPr id="294" name="Picture 37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172575" y="45910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286</xdr:row>
      <xdr:rowOff>0</xdr:rowOff>
    </xdr:from>
    <xdr:to>
      <xdr:col>15</xdr:col>
      <xdr:colOff>190500</xdr:colOff>
      <xdr:row>287</xdr:row>
      <xdr:rowOff>0</xdr:rowOff>
    </xdr:to>
    <xdr:pic>
      <xdr:nvPicPr>
        <xdr:cNvPr id="295" name="Picture 39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6101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286</xdr:row>
      <xdr:rowOff>0</xdr:rowOff>
    </xdr:from>
    <xdr:to>
      <xdr:col>15</xdr:col>
      <xdr:colOff>390525</xdr:colOff>
      <xdr:row>287</xdr:row>
      <xdr:rowOff>0</xdr:rowOff>
    </xdr:to>
    <xdr:pic>
      <xdr:nvPicPr>
        <xdr:cNvPr id="296" name="Picture 40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46101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286</xdr:row>
      <xdr:rowOff>0</xdr:rowOff>
    </xdr:from>
    <xdr:to>
      <xdr:col>15</xdr:col>
      <xdr:colOff>590550</xdr:colOff>
      <xdr:row>287</xdr:row>
      <xdr:rowOff>0</xdr:rowOff>
    </xdr:to>
    <xdr:pic>
      <xdr:nvPicPr>
        <xdr:cNvPr id="297" name="Picture 41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372600" y="46101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287</xdr:row>
      <xdr:rowOff>0</xdr:rowOff>
    </xdr:from>
    <xdr:to>
      <xdr:col>15</xdr:col>
      <xdr:colOff>190500</xdr:colOff>
      <xdr:row>288</xdr:row>
      <xdr:rowOff>0</xdr:rowOff>
    </xdr:to>
    <xdr:pic>
      <xdr:nvPicPr>
        <xdr:cNvPr id="298" name="Picture 43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6291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288</xdr:row>
      <xdr:rowOff>0</xdr:rowOff>
    </xdr:from>
    <xdr:to>
      <xdr:col>15</xdr:col>
      <xdr:colOff>190500</xdr:colOff>
      <xdr:row>289</xdr:row>
      <xdr:rowOff>0</xdr:rowOff>
    </xdr:to>
    <xdr:pic>
      <xdr:nvPicPr>
        <xdr:cNvPr id="300" name="Picture 46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2550" y="46482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289</xdr:row>
      <xdr:rowOff>0</xdr:rowOff>
    </xdr:from>
    <xdr:to>
      <xdr:col>15</xdr:col>
      <xdr:colOff>190500</xdr:colOff>
      <xdr:row>290</xdr:row>
      <xdr:rowOff>0</xdr:rowOff>
    </xdr:to>
    <xdr:pic>
      <xdr:nvPicPr>
        <xdr:cNvPr id="301" name="Picture 48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46672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289</xdr:row>
      <xdr:rowOff>0</xdr:rowOff>
    </xdr:from>
    <xdr:to>
      <xdr:col>15</xdr:col>
      <xdr:colOff>390525</xdr:colOff>
      <xdr:row>290</xdr:row>
      <xdr:rowOff>0</xdr:rowOff>
    </xdr:to>
    <xdr:pic>
      <xdr:nvPicPr>
        <xdr:cNvPr id="302" name="Picture 49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172575" y="46672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291</xdr:row>
      <xdr:rowOff>0</xdr:rowOff>
    </xdr:from>
    <xdr:to>
      <xdr:col>15</xdr:col>
      <xdr:colOff>190500</xdr:colOff>
      <xdr:row>292</xdr:row>
      <xdr:rowOff>0</xdr:rowOff>
    </xdr:to>
    <xdr:pic>
      <xdr:nvPicPr>
        <xdr:cNvPr id="303" name="Picture 5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7053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291</xdr:row>
      <xdr:rowOff>0</xdr:rowOff>
    </xdr:from>
    <xdr:to>
      <xdr:col>15</xdr:col>
      <xdr:colOff>390525</xdr:colOff>
      <xdr:row>292</xdr:row>
      <xdr:rowOff>0</xdr:rowOff>
    </xdr:to>
    <xdr:pic>
      <xdr:nvPicPr>
        <xdr:cNvPr id="304" name="Picture 53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47053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291</xdr:row>
      <xdr:rowOff>0</xdr:rowOff>
    </xdr:from>
    <xdr:to>
      <xdr:col>15</xdr:col>
      <xdr:colOff>590550</xdr:colOff>
      <xdr:row>292</xdr:row>
      <xdr:rowOff>0</xdr:rowOff>
    </xdr:to>
    <xdr:pic>
      <xdr:nvPicPr>
        <xdr:cNvPr id="305" name="Picture 54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372600" y="47053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292</xdr:row>
      <xdr:rowOff>0</xdr:rowOff>
    </xdr:from>
    <xdr:to>
      <xdr:col>15</xdr:col>
      <xdr:colOff>190500</xdr:colOff>
      <xdr:row>292</xdr:row>
      <xdr:rowOff>190500</xdr:rowOff>
    </xdr:to>
    <xdr:pic>
      <xdr:nvPicPr>
        <xdr:cNvPr id="307" name="Picture 57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47244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292</xdr:row>
      <xdr:rowOff>0</xdr:rowOff>
    </xdr:from>
    <xdr:to>
      <xdr:col>15</xdr:col>
      <xdr:colOff>390525</xdr:colOff>
      <xdr:row>292</xdr:row>
      <xdr:rowOff>190500</xdr:rowOff>
    </xdr:to>
    <xdr:pic>
      <xdr:nvPicPr>
        <xdr:cNvPr id="308" name="Picture 58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47244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292</xdr:row>
      <xdr:rowOff>0</xdr:rowOff>
    </xdr:from>
    <xdr:to>
      <xdr:col>15</xdr:col>
      <xdr:colOff>590550</xdr:colOff>
      <xdr:row>292</xdr:row>
      <xdr:rowOff>190500</xdr:rowOff>
    </xdr:to>
    <xdr:pic>
      <xdr:nvPicPr>
        <xdr:cNvPr id="309" name="Picture 59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372600" y="47244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590550</xdr:colOff>
      <xdr:row>292</xdr:row>
      <xdr:rowOff>0</xdr:rowOff>
    </xdr:from>
    <xdr:to>
      <xdr:col>15</xdr:col>
      <xdr:colOff>752475</xdr:colOff>
      <xdr:row>292</xdr:row>
      <xdr:rowOff>190500</xdr:rowOff>
    </xdr:to>
    <xdr:pic>
      <xdr:nvPicPr>
        <xdr:cNvPr id="310" name="Picture 60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391775" y="5591175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299</xdr:row>
      <xdr:rowOff>0</xdr:rowOff>
    </xdr:from>
    <xdr:to>
      <xdr:col>15</xdr:col>
      <xdr:colOff>190500</xdr:colOff>
      <xdr:row>300</xdr:row>
      <xdr:rowOff>0</xdr:rowOff>
    </xdr:to>
    <xdr:pic>
      <xdr:nvPicPr>
        <xdr:cNvPr id="311" name="Picture 6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7634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300</xdr:row>
      <xdr:rowOff>0</xdr:rowOff>
    </xdr:from>
    <xdr:to>
      <xdr:col>15</xdr:col>
      <xdr:colOff>190500</xdr:colOff>
      <xdr:row>301</xdr:row>
      <xdr:rowOff>0</xdr:rowOff>
    </xdr:to>
    <xdr:pic>
      <xdr:nvPicPr>
        <xdr:cNvPr id="312" name="Picture 64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47825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301</xdr:row>
      <xdr:rowOff>0</xdr:rowOff>
    </xdr:from>
    <xdr:to>
      <xdr:col>15</xdr:col>
      <xdr:colOff>190500</xdr:colOff>
      <xdr:row>302</xdr:row>
      <xdr:rowOff>0</xdr:rowOff>
    </xdr:to>
    <xdr:pic>
      <xdr:nvPicPr>
        <xdr:cNvPr id="313" name="Picture 66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8015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301</xdr:row>
      <xdr:rowOff>0</xdr:rowOff>
    </xdr:from>
    <xdr:to>
      <xdr:col>15</xdr:col>
      <xdr:colOff>390525</xdr:colOff>
      <xdr:row>302</xdr:row>
      <xdr:rowOff>0</xdr:rowOff>
    </xdr:to>
    <xdr:pic>
      <xdr:nvPicPr>
        <xdr:cNvPr id="314" name="Picture 67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172575" y="48015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302</xdr:row>
      <xdr:rowOff>0</xdr:rowOff>
    </xdr:from>
    <xdr:to>
      <xdr:col>15</xdr:col>
      <xdr:colOff>190500</xdr:colOff>
      <xdr:row>303</xdr:row>
      <xdr:rowOff>0</xdr:rowOff>
    </xdr:to>
    <xdr:pic>
      <xdr:nvPicPr>
        <xdr:cNvPr id="315" name="Picture 69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48206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304</xdr:row>
      <xdr:rowOff>0</xdr:rowOff>
    </xdr:from>
    <xdr:to>
      <xdr:col>15</xdr:col>
      <xdr:colOff>190500</xdr:colOff>
      <xdr:row>305</xdr:row>
      <xdr:rowOff>0</xdr:rowOff>
    </xdr:to>
    <xdr:pic>
      <xdr:nvPicPr>
        <xdr:cNvPr id="316" name="Picture 7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8587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305</xdr:row>
      <xdr:rowOff>0</xdr:rowOff>
    </xdr:from>
    <xdr:to>
      <xdr:col>15</xdr:col>
      <xdr:colOff>190500</xdr:colOff>
      <xdr:row>306</xdr:row>
      <xdr:rowOff>0</xdr:rowOff>
    </xdr:to>
    <xdr:pic>
      <xdr:nvPicPr>
        <xdr:cNvPr id="317" name="Picture 74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48777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305</xdr:row>
      <xdr:rowOff>0</xdr:rowOff>
    </xdr:from>
    <xdr:to>
      <xdr:col>15</xdr:col>
      <xdr:colOff>390525</xdr:colOff>
      <xdr:row>306</xdr:row>
      <xdr:rowOff>0</xdr:rowOff>
    </xdr:to>
    <xdr:pic>
      <xdr:nvPicPr>
        <xdr:cNvPr id="318" name="Picture 75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48777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305</xdr:row>
      <xdr:rowOff>0</xdr:rowOff>
    </xdr:from>
    <xdr:to>
      <xdr:col>15</xdr:col>
      <xdr:colOff>590550</xdr:colOff>
      <xdr:row>306</xdr:row>
      <xdr:rowOff>0</xdr:rowOff>
    </xdr:to>
    <xdr:pic>
      <xdr:nvPicPr>
        <xdr:cNvPr id="319" name="Picture 76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372600" y="48777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306</xdr:row>
      <xdr:rowOff>0</xdr:rowOff>
    </xdr:from>
    <xdr:to>
      <xdr:col>15</xdr:col>
      <xdr:colOff>190500</xdr:colOff>
      <xdr:row>306</xdr:row>
      <xdr:rowOff>190500</xdr:rowOff>
    </xdr:to>
    <xdr:pic>
      <xdr:nvPicPr>
        <xdr:cNvPr id="321" name="Picture 79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48968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306</xdr:row>
      <xdr:rowOff>0</xdr:rowOff>
    </xdr:from>
    <xdr:to>
      <xdr:col>15</xdr:col>
      <xdr:colOff>390525</xdr:colOff>
      <xdr:row>306</xdr:row>
      <xdr:rowOff>190500</xdr:rowOff>
    </xdr:to>
    <xdr:pic>
      <xdr:nvPicPr>
        <xdr:cNvPr id="322" name="Picture 80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48968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306</xdr:row>
      <xdr:rowOff>0</xdr:rowOff>
    </xdr:from>
    <xdr:to>
      <xdr:col>15</xdr:col>
      <xdr:colOff>590550</xdr:colOff>
      <xdr:row>306</xdr:row>
      <xdr:rowOff>190500</xdr:rowOff>
    </xdr:to>
    <xdr:pic>
      <xdr:nvPicPr>
        <xdr:cNvPr id="323" name="Picture 81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372600" y="48968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306</xdr:row>
      <xdr:rowOff>0</xdr:rowOff>
    </xdr:from>
    <xdr:to>
      <xdr:col>15</xdr:col>
      <xdr:colOff>762000</xdr:colOff>
      <xdr:row>306</xdr:row>
      <xdr:rowOff>190500</xdr:rowOff>
    </xdr:to>
    <xdr:pic>
      <xdr:nvPicPr>
        <xdr:cNvPr id="324" name="Picture 82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572625" y="48968025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314</xdr:row>
      <xdr:rowOff>0</xdr:rowOff>
    </xdr:from>
    <xdr:to>
      <xdr:col>15</xdr:col>
      <xdr:colOff>190500</xdr:colOff>
      <xdr:row>315</xdr:row>
      <xdr:rowOff>0</xdr:rowOff>
    </xdr:to>
    <xdr:pic>
      <xdr:nvPicPr>
        <xdr:cNvPr id="325" name="Picture 84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49558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314</xdr:row>
      <xdr:rowOff>0</xdr:rowOff>
    </xdr:from>
    <xdr:to>
      <xdr:col>15</xdr:col>
      <xdr:colOff>390525</xdr:colOff>
      <xdr:row>315</xdr:row>
      <xdr:rowOff>0</xdr:rowOff>
    </xdr:to>
    <xdr:pic>
      <xdr:nvPicPr>
        <xdr:cNvPr id="326" name="Picture 85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172575" y="49558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315</xdr:row>
      <xdr:rowOff>0</xdr:rowOff>
    </xdr:from>
    <xdr:to>
      <xdr:col>15</xdr:col>
      <xdr:colOff>190500</xdr:colOff>
      <xdr:row>316</xdr:row>
      <xdr:rowOff>0</xdr:rowOff>
    </xdr:to>
    <xdr:pic>
      <xdr:nvPicPr>
        <xdr:cNvPr id="327" name="Picture 87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49749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315</xdr:row>
      <xdr:rowOff>0</xdr:rowOff>
    </xdr:from>
    <xdr:to>
      <xdr:col>15</xdr:col>
      <xdr:colOff>390525</xdr:colOff>
      <xdr:row>316</xdr:row>
      <xdr:rowOff>0</xdr:rowOff>
    </xdr:to>
    <xdr:pic>
      <xdr:nvPicPr>
        <xdr:cNvPr id="328" name="Picture 88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172575" y="49749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315</xdr:row>
      <xdr:rowOff>0</xdr:rowOff>
    </xdr:from>
    <xdr:to>
      <xdr:col>15</xdr:col>
      <xdr:colOff>590550</xdr:colOff>
      <xdr:row>316</xdr:row>
      <xdr:rowOff>0</xdr:rowOff>
    </xdr:to>
    <xdr:pic>
      <xdr:nvPicPr>
        <xdr:cNvPr id="329" name="Picture 89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372600" y="49749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316</xdr:row>
      <xdr:rowOff>0</xdr:rowOff>
    </xdr:from>
    <xdr:to>
      <xdr:col>15</xdr:col>
      <xdr:colOff>190500</xdr:colOff>
      <xdr:row>317</xdr:row>
      <xdr:rowOff>0</xdr:rowOff>
    </xdr:to>
    <xdr:pic>
      <xdr:nvPicPr>
        <xdr:cNvPr id="330" name="Picture 91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49939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316</xdr:row>
      <xdr:rowOff>0</xdr:rowOff>
    </xdr:from>
    <xdr:to>
      <xdr:col>15</xdr:col>
      <xdr:colOff>390525</xdr:colOff>
      <xdr:row>317</xdr:row>
      <xdr:rowOff>0</xdr:rowOff>
    </xdr:to>
    <xdr:pic>
      <xdr:nvPicPr>
        <xdr:cNvPr id="331" name="Picture 92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172575" y="49939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317</xdr:row>
      <xdr:rowOff>0</xdr:rowOff>
    </xdr:from>
    <xdr:to>
      <xdr:col>15</xdr:col>
      <xdr:colOff>190500</xdr:colOff>
      <xdr:row>317</xdr:row>
      <xdr:rowOff>190500</xdr:rowOff>
    </xdr:to>
    <xdr:pic>
      <xdr:nvPicPr>
        <xdr:cNvPr id="332" name="Picture 94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50130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317</xdr:row>
      <xdr:rowOff>0</xdr:rowOff>
    </xdr:from>
    <xdr:to>
      <xdr:col>15</xdr:col>
      <xdr:colOff>390525</xdr:colOff>
      <xdr:row>317</xdr:row>
      <xdr:rowOff>190500</xdr:rowOff>
    </xdr:to>
    <xdr:pic>
      <xdr:nvPicPr>
        <xdr:cNvPr id="333" name="Picture 95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172575" y="50130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329</xdr:row>
      <xdr:rowOff>0</xdr:rowOff>
    </xdr:from>
    <xdr:to>
      <xdr:col>15</xdr:col>
      <xdr:colOff>190500</xdr:colOff>
      <xdr:row>330</xdr:row>
      <xdr:rowOff>0</xdr:rowOff>
    </xdr:to>
    <xdr:pic>
      <xdr:nvPicPr>
        <xdr:cNvPr id="334" name="Picture 97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972550" y="50520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330</xdr:row>
      <xdr:rowOff>0</xdr:rowOff>
    </xdr:from>
    <xdr:to>
      <xdr:col>15</xdr:col>
      <xdr:colOff>190500</xdr:colOff>
      <xdr:row>330</xdr:row>
      <xdr:rowOff>190500</xdr:rowOff>
    </xdr:to>
    <xdr:pic>
      <xdr:nvPicPr>
        <xdr:cNvPr id="335" name="Picture 99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50711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330</xdr:row>
      <xdr:rowOff>0</xdr:rowOff>
    </xdr:from>
    <xdr:to>
      <xdr:col>15</xdr:col>
      <xdr:colOff>390525</xdr:colOff>
      <xdr:row>330</xdr:row>
      <xdr:rowOff>190500</xdr:rowOff>
    </xdr:to>
    <xdr:pic>
      <xdr:nvPicPr>
        <xdr:cNvPr id="336" name="Picture 100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50711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332</xdr:row>
      <xdr:rowOff>0</xdr:rowOff>
    </xdr:from>
    <xdr:to>
      <xdr:col>15</xdr:col>
      <xdr:colOff>190500</xdr:colOff>
      <xdr:row>333</xdr:row>
      <xdr:rowOff>0</xdr:rowOff>
    </xdr:to>
    <xdr:pic>
      <xdr:nvPicPr>
        <xdr:cNvPr id="337" name="Picture 10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51101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332</xdr:row>
      <xdr:rowOff>9525</xdr:rowOff>
    </xdr:from>
    <xdr:to>
      <xdr:col>15</xdr:col>
      <xdr:colOff>381000</xdr:colOff>
      <xdr:row>333</xdr:row>
      <xdr:rowOff>9525</xdr:rowOff>
    </xdr:to>
    <xdr:pic>
      <xdr:nvPicPr>
        <xdr:cNvPr id="338" name="Picture 103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991725" y="63627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333</xdr:row>
      <xdr:rowOff>0</xdr:rowOff>
    </xdr:from>
    <xdr:to>
      <xdr:col>15</xdr:col>
      <xdr:colOff>190500</xdr:colOff>
      <xdr:row>334</xdr:row>
      <xdr:rowOff>0</xdr:rowOff>
    </xdr:to>
    <xdr:pic>
      <xdr:nvPicPr>
        <xdr:cNvPr id="339" name="Picture 105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512921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334</xdr:row>
      <xdr:rowOff>0</xdr:rowOff>
    </xdr:from>
    <xdr:to>
      <xdr:col>15</xdr:col>
      <xdr:colOff>190500</xdr:colOff>
      <xdr:row>335</xdr:row>
      <xdr:rowOff>0</xdr:rowOff>
    </xdr:to>
    <xdr:pic>
      <xdr:nvPicPr>
        <xdr:cNvPr id="341" name="Picture 108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51482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334</xdr:row>
      <xdr:rowOff>0</xdr:rowOff>
    </xdr:from>
    <xdr:to>
      <xdr:col>15</xdr:col>
      <xdr:colOff>381000</xdr:colOff>
      <xdr:row>335</xdr:row>
      <xdr:rowOff>0</xdr:rowOff>
    </xdr:to>
    <xdr:pic>
      <xdr:nvPicPr>
        <xdr:cNvPr id="342" name="Picture 109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991725" y="63998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335</xdr:row>
      <xdr:rowOff>0</xdr:rowOff>
    </xdr:from>
    <xdr:to>
      <xdr:col>15</xdr:col>
      <xdr:colOff>190500</xdr:colOff>
      <xdr:row>335</xdr:row>
      <xdr:rowOff>190500</xdr:rowOff>
    </xdr:to>
    <xdr:pic>
      <xdr:nvPicPr>
        <xdr:cNvPr id="343" name="Picture 111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516731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335</xdr:row>
      <xdr:rowOff>0</xdr:rowOff>
    </xdr:from>
    <xdr:to>
      <xdr:col>15</xdr:col>
      <xdr:colOff>381000</xdr:colOff>
      <xdr:row>335</xdr:row>
      <xdr:rowOff>190500</xdr:rowOff>
    </xdr:to>
    <xdr:pic>
      <xdr:nvPicPr>
        <xdr:cNvPr id="344" name="Picture 112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991725" y="64188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337</xdr:row>
      <xdr:rowOff>0</xdr:rowOff>
    </xdr:from>
    <xdr:to>
      <xdr:col>15</xdr:col>
      <xdr:colOff>190500</xdr:colOff>
      <xdr:row>338</xdr:row>
      <xdr:rowOff>0</xdr:rowOff>
    </xdr:to>
    <xdr:pic>
      <xdr:nvPicPr>
        <xdr:cNvPr id="345" name="Picture 11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520636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338</xdr:row>
      <xdr:rowOff>0</xdr:rowOff>
    </xdr:from>
    <xdr:to>
      <xdr:col>15</xdr:col>
      <xdr:colOff>190500</xdr:colOff>
      <xdr:row>339</xdr:row>
      <xdr:rowOff>0</xdr:rowOff>
    </xdr:to>
    <xdr:pic>
      <xdr:nvPicPr>
        <xdr:cNvPr id="346" name="Picture 116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52254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338</xdr:row>
      <xdr:rowOff>0</xdr:rowOff>
    </xdr:from>
    <xdr:to>
      <xdr:col>15</xdr:col>
      <xdr:colOff>390525</xdr:colOff>
      <xdr:row>339</xdr:row>
      <xdr:rowOff>0</xdr:rowOff>
    </xdr:to>
    <xdr:pic>
      <xdr:nvPicPr>
        <xdr:cNvPr id="347" name="Picture 117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72575" y="52254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338</xdr:row>
      <xdr:rowOff>0</xdr:rowOff>
    </xdr:from>
    <xdr:to>
      <xdr:col>15</xdr:col>
      <xdr:colOff>590550</xdr:colOff>
      <xdr:row>339</xdr:row>
      <xdr:rowOff>0</xdr:rowOff>
    </xdr:to>
    <xdr:pic>
      <xdr:nvPicPr>
        <xdr:cNvPr id="348" name="Picture 118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372600" y="52254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339</xdr:row>
      <xdr:rowOff>0</xdr:rowOff>
    </xdr:from>
    <xdr:to>
      <xdr:col>15</xdr:col>
      <xdr:colOff>190500</xdr:colOff>
      <xdr:row>340</xdr:row>
      <xdr:rowOff>0</xdr:rowOff>
    </xdr:to>
    <xdr:pic>
      <xdr:nvPicPr>
        <xdr:cNvPr id="349" name="Picture 120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524446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340</xdr:row>
      <xdr:rowOff>0</xdr:rowOff>
    </xdr:from>
    <xdr:to>
      <xdr:col>15</xdr:col>
      <xdr:colOff>190500</xdr:colOff>
      <xdr:row>341</xdr:row>
      <xdr:rowOff>0</xdr:rowOff>
    </xdr:to>
    <xdr:pic>
      <xdr:nvPicPr>
        <xdr:cNvPr id="350" name="Picture 122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52635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342</xdr:row>
      <xdr:rowOff>0</xdr:rowOff>
    </xdr:from>
    <xdr:to>
      <xdr:col>15</xdr:col>
      <xdr:colOff>190500</xdr:colOff>
      <xdr:row>343</xdr:row>
      <xdr:rowOff>0</xdr:rowOff>
    </xdr:to>
    <xdr:pic>
      <xdr:nvPicPr>
        <xdr:cNvPr id="351" name="Picture 125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53016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342</xdr:row>
      <xdr:rowOff>0</xdr:rowOff>
    </xdr:from>
    <xdr:to>
      <xdr:col>15</xdr:col>
      <xdr:colOff>390525</xdr:colOff>
      <xdr:row>343</xdr:row>
      <xdr:rowOff>0</xdr:rowOff>
    </xdr:to>
    <xdr:pic>
      <xdr:nvPicPr>
        <xdr:cNvPr id="352" name="Picture 126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53016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342</xdr:row>
      <xdr:rowOff>0</xdr:rowOff>
    </xdr:from>
    <xdr:to>
      <xdr:col>15</xdr:col>
      <xdr:colOff>590550</xdr:colOff>
      <xdr:row>343</xdr:row>
      <xdr:rowOff>0</xdr:rowOff>
    </xdr:to>
    <xdr:pic>
      <xdr:nvPicPr>
        <xdr:cNvPr id="353" name="Picture 127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372600" y="53016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343</xdr:row>
      <xdr:rowOff>0</xdr:rowOff>
    </xdr:from>
    <xdr:to>
      <xdr:col>15</xdr:col>
      <xdr:colOff>190500</xdr:colOff>
      <xdr:row>344</xdr:row>
      <xdr:rowOff>0</xdr:rowOff>
    </xdr:to>
    <xdr:pic>
      <xdr:nvPicPr>
        <xdr:cNvPr id="354" name="Picture 129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532066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343</xdr:row>
      <xdr:rowOff>0</xdr:rowOff>
    </xdr:from>
    <xdr:to>
      <xdr:col>15</xdr:col>
      <xdr:colOff>390525</xdr:colOff>
      <xdr:row>344</xdr:row>
      <xdr:rowOff>0</xdr:rowOff>
    </xdr:to>
    <xdr:pic>
      <xdr:nvPicPr>
        <xdr:cNvPr id="355" name="Picture 130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532066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344</xdr:row>
      <xdr:rowOff>0</xdr:rowOff>
    </xdr:from>
    <xdr:to>
      <xdr:col>15</xdr:col>
      <xdr:colOff>190500</xdr:colOff>
      <xdr:row>344</xdr:row>
      <xdr:rowOff>190500</xdr:rowOff>
    </xdr:to>
    <xdr:pic>
      <xdr:nvPicPr>
        <xdr:cNvPr id="356" name="Picture 132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53397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344</xdr:row>
      <xdr:rowOff>0</xdr:rowOff>
    </xdr:from>
    <xdr:to>
      <xdr:col>15</xdr:col>
      <xdr:colOff>390525</xdr:colOff>
      <xdr:row>344</xdr:row>
      <xdr:rowOff>190500</xdr:rowOff>
    </xdr:to>
    <xdr:pic>
      <xdr:nvPicPr>
        <xdr:cNvPr id="357" name="Picture 133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53397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344</xdr:row>
      <xdr:rowOff>0</xdr:rowOff>
    </xdr:from>
    <xdr:to>
      <xdr:col>15</xdr:col>
      <xdr:colOff>590550</xdr:colOff>
      <xdr:row>344</xdr:row>
      <xdr:rowOff>190500</xdr:rowOff>
    </xdr:to>
    <xdr:pic>
      <xdr:nvPicPr>
        <xdr:cNvPr id="358" name="Picture 134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372600" y="53397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344</xdr:row>
      <xdr:rowOff>0</xdr:rowOff>
    </xdr:from>
    <xdr:to>
      <xdr:col>15</xdr:col>
      <xdr:colOff>762000</xdr:colOff>
      <xdr:row>344</xdr:row>
      <xdr:rowOff>190500</xdr:rowOff>
    </xdr:to>
    <xdr:pic>
      <xdr:nvPicPr>
        <xdr:cNvPr id="359" name="Picture 135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572625" y="5339715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348</xdr:row>
      <xdr:rowOff>0</xdr:rowOff>
    </xdr:from>
    <xdr:to>
      <xdr:col>15</xdr:col>
      <xdr:colOff>190500</xdr:colOff>
      <xdr:row>349</xdr:row>
      <xdr:rowOff>0</xdr:rowOff>
    </xdr:to>
    <xdr:pic>
      <xdr:nvPicPr>
        <xdr:cNvPr id="360" name="Picture 139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54168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348</xdr:row>
      <xdr:rowOff>0</xdr:rowOff>
    </xdr:from>
    <xdr:to>
      <xdr:col>15</xdr:col>
      <xdr:colOff>390525</xdr:colOff>
      <xdr:row>349</xdr:row>
      <xdr:rowOff>0</xdr:rowOff>
    </xdr:to>
    <xdr:pic>
      <xdr:nvPicPr>
        <xdr:cNvPr id="361" name="Picture 140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54168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348</xdr:row>
      <xdr:rowOff>0</xdr:rowOff>
    </xdr:from>
    <xdr:to>
      <xdr:col>15</xdr:col>
      <xdr:colOff>590550</xdr:colOff>
      <xdr:row>349</xdr:row>
      <xdr:rowOff>0</xdr:rowOff>
    </xdr:to>
    <xdr:pic>
      <xdr:nvPicPr>
        <xdr:cNvPr id="362" name="Picture 141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372600" y="54168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349</xdr:row>
      <xdr:rowOff>0</xdr:rowOff>
    </xdr:from>
    <xdr:to>
      <xdr:col>15</xdr:col>
      <xdr:colOff>190500</xdr:colOff>
      <xdr:row>350</xdr:row>
      <xdr:rowOff>0</xdr:rowOff>
    </xdr:to>
    <xdr:pic>
      <xdr:nvPicPr>
        <xdr:cNvPr id="363" name="Picture 143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972550" y="54359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351</xdr:row>
      <xdr:rowOff>0</xdr:rowOff>
    </xdr:from>
    <xdr:to>
      <xdr:col>15</xdr:col>
      <xdr:colOff>190500</xdr:colOff>
      <xdr:row>352</xdr:row>
      <xdr:rowOff>0</xdr:rowOff>
    </xdr:to>
    <xdr:pic>
      <xdr:nvPicPr>
        <xdr:cNvPr id="364" name="Picture 146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72550" y="54740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351</xdr:row>
      <xdr:rowOff>0</xdr:rowOff>
    </xdr:from>
    <xdr:to>
      <xdr:col>15</xdr:col>
      <xdr:colOff>390525</xdr:colOff>
      <xdr:row>352</xdr:row>
      <xdr:rowOff>0</xdr:rowOff>
    </xdr:to>
    <xdr:pic>
      <xdr:nvPicPr>
        <xdr:cNvPr id="365" name="Picture 147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172575" y="54740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353</xdr:row>
      <xdr:rowOff>0</xdr:rowOff>
    </xdr:from>
    <xdr:to>
      <xdr:col>15</xdr:col>
      <xdr:colOff>190500</xdr:colOff>
      <xdr:row>353</xdr:row>
      <xdr:rowOff>190500</xdr:rowOff>
    </xdr:to>
    <xdr:pic>
      <xdr:nvPicPr>
        <xdr:cNvPr id="366" name="Picture 150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972550" y="55121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353</xdr:row>
      <xdr:rowOff>0</xdr:rowOff>
    </xdr:from>
    <xdr:to>
      <xdr:col>15</xdr:col>
      <xdr:colOff>390525</xdr:colOff>
      <xdr:row>353</xdr:row>
      <xdr:rowOff>190500</xdr:rowOff>
    </xdr:to>
    <xdr:pic>
      <xdr:nvPicPr>
        <xdr:cNvPr id="367" name="Picture 151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172575" y="55121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353</xdr:row>
      <xdr:rowOff>0</xdr:rowOff>
    </xdr:from>
    <xdr:to>
      <xdr:col>15</xdr:col>
      <xdr:colOff>590550</xdr:colOff>
      <xdr:row>353</xdr:row>
      <xdr:rowOff>190500</xdr:rowOff>
    </xdr:to>
    <xdr:pic>
      <xdr:nvPicPr>
        <xdr:cNvPr id="368" name="Picture 152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372600" y="55121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600075</xdr:colOff>
      <xdr:row>353</xdr:row>
      <xdr:rowOff>0</xdr:rowOff>
    </xdr:from>
    <xdr:to>
      <xdr:col>15</xdr:col>
      <xdr:colOff>762000</xdr:colOff>
      <xdr:row>353</xdr:row>
      <xdr:rowOff>190500</xdr:rowOff>
    </xdr:to>
    <xdr:pic>
      <xdr:nvPicPr>
        <xdr:cNvPr id="369" name="Picture 153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572625" y="55121175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800100</xdr:colOff>
      <xdr:row>353</xdr:row>
      <xdr:rowOff>0</xdr:rowOff>
    </xdr:from>
    <xdr:to>
      <xdr:col>15</xdr:col>
      <xdr:colOff>800100</xdr:colOff>
      <xdr:row>353</xdr:row>
      <xdr:rowOff>190500</xdr:rowOff>
    </xdr:to>
    <xdr:pic>
      <xdr:nvPicPr>
        <xdr:cNvPr id="370" name="Picture 154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9772650" y="55121175"/>
          <a:ext cx="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113</xdr:row>
      <xdr:rowOff>9525</xdr:rowOff>
    </xdr:from>
    <xdr:to>
      <xdr:col>15</xdr:col>
      <xdr:colOff>200025</xdr:colOff>
      <xdr:row>114</xdr:row>
      <xdr:rowOff>9525</xdr:rowOff>
    </xdr:to>
    <xdr:pic>
      <xdr:nvPicPr>
        <xdr:cNvPr id="371" name="Picture 179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82075" y="18573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146</xdr:row>
      <xdr:rowOff>9525</xdr:rowOff>
    </xdr:from>
    <xdr:to>
      <xdr:col>15</xdr:col>
      <xdr:colOff>190500</xdr:colOff>
      <xdr:row>147</xdr:row>
      <xdr:rowOff>9525</xdr:rowOff>
    </xdr:to>
    <xdr:pic>
      <xdr:nvPicPr>
        <xdr:cNvPr id="372" name="Picture 231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23926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179</xdr:row>
      <xdr:rowOff>9525</xdr:rowOff>
    </xdr:from>
    <xdr:to>
      <xdr:col>15</xdr:col>
      <xdr:colOff>190500</xdr:colOff>
      <xdr:row>180</xdr:row>
      <xdr:rowOff>9525</xdr:rowOff>
    </xdr:to>
    <xdr:pic>
      <xdr:nvPicPr>
        <xdr:cNvPr id="373" name="Picture 312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292798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331</xdr:row>
      <xdr:rowOff>0</xdr:rowOff>
    </xdr:from>
    <xdr:to>
      <xdr:col>15</xdr:col>
      <xdr:colOff>190500</xdr:colOff>
      <xdr:row>332</xdr:row>
      <xdr:rowOff>0</xdr:rowOff>
    </xdr:to>
    <xdr:pic>
      <xdr:nvPicPr>
        <xdr:cNvPr id="374" name="Picture 105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509111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336</xdr:row>
      <xdr:rowOff>0</xdr:rowOff>
    </xdr:from>
    <xdr:to>
      <xdr:col>15</xdr:col>
      <xdr:colOff>190500</xdr:colOff>
      <xdr:row>337</xdr:row>
      <xdr:rowOff>0</xdr:rowOff>
    </xdr:to>
    <xdr:pic>
      <xdr:nvPicPr>
        <xdr:cNvPr id="375" name="Picture 11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51873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313</xdr:row>
      <xdr:rowOff>0</xdr:rowOff>
    </xdr:from>
    <xdr:to>
      <xdr:col>15</xdr:col>
      <xdr:colOff>190500</xdr:colOff>
      <xdr:row>314</xdr:row>
      <xdr:rowOff>0</xdr:rowOff>
    </xdr:to>
    <xdr:pic>
      <xdr:nvPicPr>
        <xdr:cNvPr id="376" name="Picture 84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72550" y="49368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313</xdr:row>
      <xdr:rowOff>0</xdr:rowOff>
    </xdr:from>
    <xdr:to>
      <xdr:col>15</xdr:col>
      <xdr:colOff>390525</xdr:colOff>
      <xdr:row>314</xdr:row>
      <xdr:rowOff>0</xdr:rowOff>
    </xdr:to>
    <xdr:pic>
      <xdr:nvPicPr>
        <xdr:cNvPr id="377" name="Picture 85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172575" y="49368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328</xdr:row>
      <xdr:rowOff>0</xdr:rowOff>
    </xdr:from>
    <xdr:to>
      <xdr:col>15</xdr:col>
      <xdr:colOff>190500</xdr:colOff>
      <xdr:row>329</xdr:row>
      <xdr:rowOff>0</xdr:rowOff>
    </xdr:to>
    <xdr:pic>
      <xdr:nvPicPr>
        <xdr:cNvPr id="378" name="Picture 99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72550" y="50330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298</xdr:row>
      <xdr:rowOff>0</xdr:rowOff>
    </xdr:from>
    <xdr:to>
      <xdr:col>15</xdr:col>
      <xdr:colOff>190500</xdr:colOff>
      <xdr:row>299</xdr:row>
      <xdr:rowOff>0</xdr:rowOff>
    </xdr:to>
    <xdr:pic>
      <xdr:nvPicPr>
        <xdr:cNvPr id="379" name="Picture 6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7444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262</xdr:row>
      <xdr:rowOff>0</xdr:rowOff>
    </xdr:from>
    <xdr:to>
      <xdr:col>15</xdr:col>
      <xdr:colOff>190500</xdr:colOff>
      <xdr:row>263</xdr:row>
      <xdr:rowOff>0</xdr:rowOff>
    </xdr:to>
    <xdr:pic>
      <xdr:nvPicPr>
        <xdr:cNvPr id="380" name="Picture 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72550" y="43424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248</xdr:row>
      <xdr:rowOff>0</xdr:rowOff>
    </xdr:from>
    <xdr:to>
      <xdr:col>15</xdr:col>
      <xdr:colOff>190500</xdr:colOff>
      <xdr:row>249</xdr:row>
      <xdr:rowOff>0</xdr:rowOff>
    </xdr:to>
    <xdr:pic>
      <xdr:nvPicPr>
        <xdr:cNvPr id="381" name="Picture 441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40747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235</xdr:row>
      <xdr:rowOff>0</xdr:rowOff>
    </xdr:from>
    <xdr:to>
      <xdr:col>15</xdr:col>
      <xdr:colOff>190500</xdr:colOff>
      <xdr:row>236</xdr:row>
      <xdr:rowOff>0</xdr:rowOff>
    </xdr:to>
    <xdr:pic>
      <xdr:nvPicPr>
        <xdr:cNvPr id="382" name="Picture 408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72550" y="38261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221</xdr:row>
      <xdr:rowOff>0</xdr:rowOff>
    </xdr:from>
    <xdr:to>
      <xdr:col>15</xdr:col>
      <xdr:colOff>190500</xdr:colOff>
      <xdr:row>222</xdr:row>
      <xdr:rowOff>0</xdr:rowOff>
    </xdr:to>
    <xdr:pic>
      <xdr:nvPicPr>
        <xdr:cNvPr id="383" name="Picture 379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2550" y="35585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312</xdr:row>
      <xdr:rowOff>0</xdr:rowOff>
    </xdr:from>
    <xdr:to>
      <xdr:col>15</xdr:col>
      <xdr:colOff>190500</xdr:colOff>
      <xdr:row>312</xdr:row>
      <xdr:rowOff>190500</xdr:rowOff>
    </xdr:to>
    <xdr:pic>
      <xdr:nvPicPr>
        <xdr:cNvPr id="385" name="Picture 10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287000" y="49368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312</xdr:row>
      <xdr:rowOff>0</xdr:rowOff>
    </xdr:from>
    <xdr:to>
      <xdr:col>15</xdr:col>
      <xdr:colOff>381000</xdr:colOff>
      <xdr:row>312</xdr:row>
      <xdr:rowOff>190500</xdr:rowOff>
    </xdr:to>
    <xdr:pic>
      <xdr:nvPicPr>
        <xdr:cNvPr id="386" name="Picture 74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477500" y="49368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762000</xdr:colOff>
      <xdr:row>353</xdr:row>
      <xdr:rowOff>9525</xdr:rowOff>
    </xdr:from>
    <xdr:to>
      <xdr:col>15</xdr:col>
      <xdr:colOff>952500</xdr:colOff>
      <xdr:row>354</xdr:row>
      <xdr:rowOff>0</xdr:rowOff>
    </xdr:to>
    <xdr:pic>
      <xdr:nvPicPr>
        <xdr:cNvPr id="387" name="Picture 3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1820525" y="55330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94</xdr:row>
      <xdr:rowOff>0</xdr:rowOff>
    </xdr:from>
    <xdr:to>
      <xdr:col>15</xdr:col>
      <xdr:colOff>190500</xdr:colOff>
      <xdr:row>95</xdr:row>
      <xdr:rowOff>0</xdr:rowOff>
    </xdr:to>
    <xdr:pic>
      <xdr:nvPicPr>
        <xdr:cNvPr id="388" name="Picture 395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363325" y="16087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113</xdr:row>
      <xdr:rowOff>0</xdr:rowOff>
    </xdr:from>
    <xdr:to>
      <xdr:col>15</xdr:col>
      <xdr:colOff>390525</xdr:colOff>
      <xdr:row>114</xdr:row>
      <xdr:rowOff>0</xdr:rowOff>
    </xdr:to>
    <xdr:pic>
      <xdr:nvPicPr>
        <xdr:cNvPr id="391" name="Picture 171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563350" y="187642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221</xdr:row>
      <xdr:rowOff>0</xdr:rowOff>
    </xdr:from>
    <xdr:to>
      <xdr:col>15</xdr:col>
      <xdr:colOff>390525</xdr:colOff>
      <xdr:row>222</xdr:row>
      <xdr:rowOff>0</xdr:rowOff>
    </xdr:to>
    <xdr:pic>
      <xdr:nvPicPr>
        <xdr:cNvPr id="396" name="Picture 37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563350" y="35785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70</xdr:row>
      <xdr:rowOff>9525</xdr:rowOff>
    </xdr:from>
    <xdr:to>
      <xdr:col>15</xdr:col>
      <xdr:colOff>200025</xdr:colOff>
      <xdr:row>71</xdr:row>
      <xdr:rowOff>9525</xdr:rowOff>
    </xdr:to>
    <xdr:pic>
      <xdr:nvPicPr>
        <xdr:cNvPr id="393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3420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71</xdr:row>
      <xdr:rowOff>9525</xdr:rowOff>
    </xdr:from>
    <xdr:to>
      <xdr:col>15</xdr:col>
      <xdr:colOff>200025</xdr:colOff>
      <xdr:row>72</xdr:row>
      <xdr:rowOff>9525</xdr:rowOff>
    </xdr:to>
    <xdr:pic>
      <xdr:nvPicPr>
        <xdr:cNvPr id="394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3611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72</xdr:row>
      <xdr:rowOff>9525</xdr:rowOff>
    </xdr:from>
    <xdr:to>
      <xdr:col>15</xdr:col>
      <xdr:colOff>200025</xdr:colOff>
      <xdr:row>73</xdr:row>
      <xdr:rowOff>9525</xdr:rowOff>
    </xdr:to>
    <xdr:pic>
      <xdr:nvPicPr>
        <xdr:cNvPr id="395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3801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73</xdr:row>
      <xdr:rowOff>0</xdr:rowOff>
    </xdr:from>
    <xdr:to>
      <xdr:col>15</xdr:col>
      <xdr:colOff>200025</xdr:colOff>
      <xdr:row>74</xdr:row>
      <xdr:rowOff>0</xdr:rowOff>
    </xdr:to>
    <xdr:pic>
      <xdr:nvPicPr>
        <xdr:cNvPr id="397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3982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74</xdr:row>
      <xdr:rowOff>0</xdr:rowOff>
    </xdr:from>
    <xdr:to>
      <xdr:col>15</xdr:col>
      <xdr:colOff>200025</xdr:colOff>
      <xdr:row>74</xdr:row>
      <xdr:rowOff>190500</xdr:rowOff>
    </xdr:to>
    <xdr:pic>
      <xdr:nvPicPr>
        <xdr:cNvPr id="398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4173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71</xdr:row>
      <xdr:rowOff>9525</xdr:rowOff>
    </xdr:from>
    <xdr:to>
      <xdr:col>15</xdr:col>
      <xdr:colOff>390525</xdr:colOff>
      <xdr:row>72</xdr:row>
      <xdr:rowOff>9525</xdr:rowOff>
    </xdr:to>
    <xdr:pic>
      <xdr:nvPicPr>
        <xdr:cNvPr id="400" name="Picture 9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563350" y="13611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73</xdr:row>
      <xdr:rowOff>0</xdr:rowOff>
    </xdr:from>
    <xdr:to>
      <xdr:col>15</xdr:col>
      <xdr:colOff>381000</xdr:colOff>
      <xdr:row>74</xdr:row>
      <xdr:rowOff>0</xdr:rowOff>
    </xdr:to>
    <xdr:pic>
      <xdr:nvPicPr>
        <xdr:cNvPr id="401" name="Picture 9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553825" y="13982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72</xdr:row>
      <xdr:rowOff>0</xdr:rowOff>
    </xdr:from>
    <xdr:to>
      <xdr:col>15</xdr:col>
      <xdr:colOff>390525</xdr:colOff>
      <xdr:row>73</xdr:row>
      <xdr:rowOff>0</xdr:rowOff>
    </xdr:to>
    <xdr:pic>
      <xdr:nvPicPr>
        <xdr:cNvPr id="402" name="Picture 8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563350" y="13792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74</xdr:row>
      <xdr:rowOff>0</xdr:rowOff>
    </xdr:from>
    <xdr:to>
      <xdr:col>15</xdr:col>
      <xdr:colOff>390525</xdr:colOff>
      <xdr:row>74</xdr:row>
      <xdr:rowOff>190500</xdr:rowOff>
    </xdr:to>
    <xdr:pic>
      <xdr:nvPicPr>
        <xdr:cNvPr id="403" name="Picture 8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563350" y="14173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89</xdr:row>
      <xdr:rowOff>9525</xdr:rowOff>
    </xdr:from>
    <xdr:to>
      <xdr:col>15</xdr:col>
      <xdr:colOff>200025</xdr:colOff>
      <xdr:row>90</xdr:row>
      <xdr:rowOff>9525</xdr:rowOff>
    </xdr:to>
    <xdr:pic>
      <xdr:nvPicPr>
        <xdr:cNvPr id="404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3420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90</xdr:row>
      <xdr:rowOff>9525</xdr:rowOff>
    </xdr:from>
    <xdr:to>
      <xdr:col>15</xdr:col>
      <xdr:colOff>200025</xdr:colOff>
      <xdr:row>91</xdr:row>
      <xdr:rowOff>9525</xdr:rowOff>
    </xdr:to>
    <xdr:pic>
      <xdr:nvPicPr>
        <xdr:cNvPr id="405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3611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91</xdr:row>
      <xdr:rowOff>9525</xdr:rowOff>
    </xdr:from>
    <xdr:to>
      <xdr:col>15</xdr:col>
      <xdr:colOff>200025</xdr:colOff>
      <xdr:row>92</xdr:row>
      <xdr:rowOff>9525</xdr:rowOff>
    </xdr:to>
    <xdr:pic>
      <xdr:nvPicPr>
        <xdr:cNvPr id="406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3801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92</xdr:row>
      <xdr:rowOff>0</xdr:rowOff>
    </xdr:from>
    <xdr:to>
      <xdr:col>15</xdr:col>
      <xdr:colOff>200025</xdr:colOff>
      <xdr:row>93</xdr:row>
      <xdr:rowOff>0</xdr:rowOff>
    </xdr:to>
    <xdr:pic>
      <xdr:nvPicPr>
        <xdr:cNvPr id="407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3982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93</xdr:row>
      <xdr:rowOff>0</xdr:rowOff>
    </xdr:from>
    <xdr:to>
      <xdr:col>15</xdr:col>
      <xdr:colOff>200025</xdr:colOff>
      <xdr:row>93</xdr:row>
      <xdr:rowOff>190500</xdr:rowOff>
    </xdr:to>
    <xdr:pic>
      <xdr:nvPicPr>
        <xdr:cNvPr id="408" name="Picture 109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14173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89</xdr:row>
      <xdr:rowOff>9525</xdr:rowOff>
    </xdr:from>
    <xdr:to>
      <xdr:col>15</xdr:col>
      <xdr:colOff>390525</xdr:colOff>
      <xdr:row>90</xdr:row>
      <xdr:rowOff>9525</xdr:rowOff>
    </xdr:to>
    <xdr:pic>
      <xdr:nvPicPr>
        <xdr:cNvPr id="409" name="Picture 9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563350" y="13420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92</xdr:row>
      <xdr:rowOff>0</xdr:rowOff>
    </xdr:from>
    <xdr:to>
      <xdr:col>15</xdr:col>
      <xdr:colOff>381000</xdr:colOff>
      <xdr:row>93</xdr:row>
      <xdr:rowOff>0</xdr:rowOff>
    </xdr:to>
    <xdr:pic>
      <xdr:nvPicPr>
        <xdr:cNvPr id="411" name="Picture 94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553825" y="13982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90</xdr:row>
      <xdr:rowOff>9525</xdr:rowOff>
    </xdr:from>
    <xdr:to>
      <xdr:col>15</xdr:col>
      <xdr:colOff>381000</xdr:colOff>
      <xdr:row>91</xdr:row>
      <xdr:rowOff>9525</xdr:rowOff>
    </xdr:to>
    <xdr:pic>
      <xdr:nvPicPr>
        <xdr:cNvPr id="412" name="Picture 8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553825" y="17249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93</xdr:row>
      <xdr:rowOff>0</xdr:rowOff>
    </xdr:from>
    <xdr:to>
      <xdr:col>15</xdr:col>
      <xdr:colOff>390525</xdr:colOff>
      <xdr:row>93</xdr:row>
      <xdr:rowOff>190500</xdr:rowOff>
    </xdr:to>
    <xdr:pic>
      <xdr:nvPicPr>
        <xdr:cNvPr id="413" name="Picture 8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563350" y="14173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91</xdr:row>
      <xdr:rowOff>0</xdr:rowOff>
    </xdr:from>
    <xdr:to>
      <xdr:col>15</xdr:col>
      <xdr:colOff>381000</xdr:colOff>
      <xdr:row>92</xdr:row>
      <xdr:rowOff>0</xdr:rowOff>
    </xdr:to>
    <xdr:pic>
      <xdr:nvPicPr>
        <xdr:cNvPr id="415" name="Picture 345" descr="Greift pro Runde vier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1553825" y="174307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89</xdr:row>
      <xdr:rowOff>0</xdr:rowOff>
    </xdr:from>
    <xdr:to>
      <xdr:col>15</xdr:col>
      <xdr:colOff>581025</xdr:colOff>
      <xdr:row>90</xdr:row>
      <xdr:rowOff>0</xdr:rowOff>
    </xdr:to>
    <xdr:pic>
      <xdr:nvPicPr>
        <xdr:cNvPr id="416" name="Grafik 415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753850" y="170497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90</xdr:row>
      <xdr:rowOff>9525</xdr:rowOff>
    </xdr:from>
    <xdr:to>
      <xdr:col>15</xdr:col>
      <xdr:colOff>571500</xdr:colOff>
      <xdr:row>91</xdr:row>
      <xdr:rowOff>9525</xdr:rowOff>
    </xdr:to>
    <xdr:pic>
      <xdr:nvPicPr>
        <xdr:cNvPr id="417" name="Grafik 416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744325" y="1724977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91</xdr:row>
      <xdr:rowOff>0</xdr:rowOff>
    </xdr:from>
    <xdr:to>
      <xdr:col>15</xdr:col>
      <xdr:colOff>571500</xdr:colOff>
      <xdr:row>92</xdr:row>
      <xdr:rowOff>0</xdr:rowOff>
    </xdr:to>
    <xdr:pic>
      <xdr:nvPicPr>
        <xdr:cNvPr id="418" name="Grafik 417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744325" y="174307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91</xdr:row>
      <xdr:rowOff>180975</xdr:rowOff>
    </xdr:from>
    <xdr:to>
      <xdr:col>15</xdr:col>
      <xdr:colOff>571500</xdr:colOff>
      <xdr:row>92</xdr:row>
      <xdr:rowOff>180975</xdr:rowOff>
    </xdr:to>
    <xdr:pic>
      <xdr:nvPicPr>
        <xdr:cNvPr id="419" name="Grafik 418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744325" y="176117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390525</xdr:colOff>
      <xdr:row>93</xdr:row>
      <xdr:rowOff>0</xdr:rowOff>
    </xdr:from>
    <xdr:to>
      <xdr:col>15</xdr:col>
      <xdr:colOff>581025</xdr:colOff>
      <xdr:row>93</xdr:row>
      <xdr:rowOff>190500</xdr:rowOff>
    </xdr:to>
    <xdr:pic>
      <xdr:nvPicPr>
        <xdr:cNvPr id="420" name="Grafik 419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753850" y="178117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108</xdr:row>
      <xdr:rowOff>0</xdr:rowOff>
    </xdr:from>
    <xdr:to>
      <xdr:col>15</xdr:col>
      <xdr:colOff>190500</xdr:colOff>
      <xdr:row>109</xdr:row>
      <xdr:rowOff>0</xdr:rowOff>
    </xdr:to>
    <xdr:pic>
      <xdr:nvPicPr>
        <xdr:cNvPr id="436" name="Picture 16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63325" y="20688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109</xdr:row>
      <xdr:rowOff>0</xdr:rowOff>
    </xdr:from>
    <xdr:to>
      <xdr:col>15</xdr:col>
      <xdr:colOff>200025</xdr:colOff>
      <xdr:row>110</xdr:row>
      <xdr:rowOff>0</xdr:rowOff>
    </xdr:to>
    <xdr:pic>
      <xdr:nvPicPr>
        <xdr:cNvPr id="437" name="Picture 16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20878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110</xdr:row>
      <xdr:rowOff>0</xdr:rowOff>
    </xdr:from>
    <xdr:to>
      <xdr:col>15</xdr:col>
      <xdr:colOff>200025</xdr:colOff>
      <xdr:row>111</xdr:row>
      <xdr:rowOff>0</xdr:rowOff>
    </xdr:to>
    <xdr:pic>
      <xdr:nvPicPr>
        <xdr:cNvPr id="438" name="Picture 16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21069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111</xdr:row>
      <xdr:rowOff>0</xdr:rowOff>
    </xdr:from>
    <xdr:to>
      <xdr:col>15</xdr:col>
      <xdr:colOff>200025</xdr:colOff>
      <xdr:row>112</xdr:row>
      <xdr:rowOff>0</xdr:rowOff>
    </xdr:to>
    <xdr:pic>
      <xdr:nvPicPr>
        <xdr:cNvPr id="439" name="Picture 16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21259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112</xdr:row>
      <xdr:rowOff>0</xdr:rowOff>
    </xdr:from>
    <xdr:to>
      <xdr:col>15</xdr:col>
      <xdr:colOff>200025</xdr:colOff>
      <xdr:row>112</xdr:row>
      <xdr:rowOff>190500</xdr:rowOff>
    </xdr:to>
    <xdr:pic>
      <xdr:nvPicPr>
        <xdr:cNvPr id="440" name="Picture 16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21450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108</xdr:row>
      <xdr:rowOff>0</xdr:rowOff>
    </xdr:from>
    <xdr:to>
      <xdr:col>15</xdr:col>
      <xdr:colOff>381000</xdr:colOff>
      <xdr:row>109</xdr:row>
      <xdr:rowOff>0</xdr:rowOff>
    </xdr:to>
    <xdr:pic>
      <xdr:nvPicPr>
        <xdr:cNvPr id="441" name="Picture 395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553825" y="20688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109</xdr:row>
      <xdr:rowOff>0</xdr:rowOff>
    </xdr:from>
    <xdr:to>
      <xdr:col>15</xdr:col>
      <xdr:colOff>390525</xdr:colOff>
      <xdr:row>110</xdr:row>
      <xdr:rowOff>0</xdr:rowOff>
    </xdr:to>
    <xdr:pic>
      <xdr:nvPicPr>
        <xdr:cNvPr id="442" name="Picture 395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563350" y="20878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110</xdr:row>
      <xdr:rowOff>0</xdr:rowOff>
    </xdr:from>
    <xdr:to>
      <xdr:col>15</xdr:col>
      <xdr:colOff>390525</xdr:colOff>
      <xdr:row>111</xdr:row>
      <xdr:rowOff>0</xdr:rowOff>
    </xdr:to>
    <xdr:pic>
      <xdr:nvPicPr>
        <xdr:cNvPr id="443" name="Picture 395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563350" y="21069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111</xdr:row>
      <xdr:rowOff>0</xdr:rowOff>
    </xdr:from>
    <xdr:to>
      <xdr:col>15</xdr:col>
      <xdr:colOff>390525</xdr:colOff>
      <xdr:row>112</xdr:row>
      <xdr:rowOff>0</xdr:rowOff>
    </xdr:to>
    <xdr:pic>
      <xdr:nvPicPr>
        <xdr:cNvPr id="444" name="Picture 395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563350" y="21259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112</xdr:row>
      <xdr:rowOff>0</xdr:rowOff>
    </xdr:from>
    <xdr:to>
      <xdr:col>15</xdr:col>
      <xdr:colOff>390525</xdr:colOff>
      <xdr:row>112</xdr:row>
      <xdr:rowOff>190500</xdr:rowOff>
    </xdr:to>
    <xdr:pic>
      <xdr:nvPicPr>
        <xdr:cNvPr id="445" name="Picture 395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563350" y="21450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108</xdr:row>
      <xdr:rowOff>0</xdr:rowOff>
    </xdr:from>
    <xdr:to>
      <xdr:col>15</xdr:col>
      <xdr:colOff>571500</xdr:colOff>
      <xdr:row>109</xdr:row>
      <xdr:rowOff>0</xdr:rowOff>
    </xdr:to>
    <xdr:pic>
      <xdr:nvPicPr>
        <xdr:cNvPr id="446" name="Picture 24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1744325" y="20688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109</xdr:row>
      <xdr:rowOff>9525</xdr:rowOff>
    </xdr:from>
    <xdr:to>
      <xdr:col>15</xdr:col>
      <xdr:colOff>581025</xdr:colOff>
      <xdr:row>110</xdr:row>
      <xdr:rowOff>9525</xdr:rowOff>
    </xdr:to>
    <xdr:pic>
      <xdr:nvPicPr>
        <xdr:cNvPr id="447" name="Picture 24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1753850" y="20888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110</xdr:row>
      <xdr:rowOff>9525</xdr:rowOff>
    </xdr:from>
    <xdr:to>
      <xdr:col>15</xdr:col>
      <xdr:colOff>581025</xdr:colOff>
      <xdr:row>111</xdr:row>
      <xdr:rowOff>9525</xdr:rowOff>
    </xdr:to>
    <xdr:pic>
      <xdr:nvPicPr>
        <xdr:cNvPr id="448" name="Picture 24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1753850" y="21078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111</xdr:row>
      <xdr:rowOff>9525</xdr:rowOff>
    </xdr:from>
    <xdr:to>
      <xdr:col>15</xdr:col>
      <xdr:colOff>581025</xdr:colOff>
      <xdr:row>112</xdr:row>
      <xdr:rowOff>9525</xdr:rowOff>
    </xdr:to>
    <xdr:pic>
      <xdr:nvPicPr>
        <xdr:cNvPr id="449" name="Picture 24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1753850" y="21269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112</xdr:row>
      <xdr:rowOff>9525</xdr:rowOff>
    </xdr:from>
    <xdr:to>
      <xdr:col>15</xdr:col>
      <xdr:colOff>581025</xdr:colOff>
      <xdr:row>113</xdr:row>
      <xdr:rowOff>0</xdr:rowOff>
    </xdr:to>
    <xdr:pic>
      <xdr:nvPicPr>
        <xdr:cNvPr id="450" name="Picture 24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1753850" y="21459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141</xdr:row>
      <xdr:rowOff>9525</xdr:rowOff>
    </xdr:from>
    <xdr:to>
      <xdr:col>15</xdr:col>
      <xdr:colOff>190500</xdr:colOff>
      <xdr:row>142</xdr:row>
      <xdr:rowOff>9525</xdr:rowOff>
    </xdr:to>
    <xdr:pic>
      <xdr:nvPicPr>
        <xdr:cNvPr id="462" name="Picture 227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63325" y="27012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143</xdr:row>
      <xdr:rowOff>9525</xdr:rowOff>
    </xdr:from>
    <xdr:to>
      <xdr:col>15</xdr:col>
      <xdr:colOff>200025</xdr:colOff>
      <xdr:row>144</xdr:row>
      <xdr:rowOff>9525</xdr:rowOff>
    </xdr:to>
    <xdr:pic>
      <xdr:nvPicPr>
        <xdr:cNvPr id="463" name="Picture 227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27393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142</xdr:row>
      <xdr:rowOff>9525</xdr:rowOff>
    </xdr:from>
    <xdr:to>
      <xdr:col>15</xdr:col>
      <xdr:colOff>200025</xdr:colOff>
      <xdr:row>143</xdr:row>
      <xdr:rowOff>9525</xdr:rowOff>
    </xdr:to>
    <xdr:pic>
      <xdr:nvPicPr>
        <xdr:cNvPr id="464" name="Picture 226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72850" y="27203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144</xdr:row>
      <xdr:rowOff>0</xdr:rowOff>
    </xdr:from>
    <xdr:to>
      <xdr:col>15</xdr:col>
      <xdr:colOff>200025</xdr:colOff>
      <xdr:row>145</xdr:row>
      <xdr:rowOff>0</xdr:rowOff>
    </xdr:to>
    <xdr:pic>
      <xdr:nvPicPr>
        <xdr:cNvPr id="465" name="Picture 213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372850" y="275748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145</xdr:row>
      <xdr:rowOff>0</xdr:rowOff>
    </xdr:from>
    <xdr:to>
      <xdr:col>15</xdr:col>
      <xdr:colOff>200025</xdr:colOff>
      <xdr:row>145</xdr:row>
      <xdr:rowOff>190500</xdr:rowOff>
    </xdr:to>
    <xdr:pic>
      <xdr:nvPicPr>
        <xdr:cNvPr id="466" name="Picture 235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27765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141</xdr:row>
      <xdr:rowOff>9525</xdr:rowOff>
    </xdr:from>
    <xdr:to>
      <xdr:col>15</xdr:col>
      <xdr:colOff>381000</xdr:colOff>
      <xdr:row>142</xdr:row>
      <xdr:rowOff>9525</xdr:rowOff>
    </xdr:to>
    <xdr:pic>
      <xdr:nvPicPr>
        <xdr:cNvPr id="467" name="Picture 25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53825" y="27012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142</xdr:row>
      <xdr:rowOff>9525</xdr:rowOff>
    </xdr:from>
    <xdr:to>
      <xdr:col>15</xdr:col>
      <xdr:colOff>381000</xdr:colOff>
      <xdr:row>143</xdr:row>
      <xdr:rowOff>9525</xdr:rowOff>
    </xdr:to>
    <xdr:pic>
      <xdr:nvPicPr>
        <xdr:cNvPr id="468" name="Picture 25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53825" y="27203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143</xdr:row>
      <xdr:rowOff>9525</xdr:rowOff>
    </xdr:from>
    <xdr:to>
      <xdr:col>15</xdr:col>
      <xdr:colOff>381000</xdr:colOff>
      <xdr:row>144</xdr:row>
      <xdr:rowOff>9525</xdr:rowOff>
    </xdr:to>
    <xdr:pic>
      <xdr:nvPicPr>
        <xdr:cNvPr id="469" name="Picture 25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53825" y="27393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144</xdr:row>
      <xdr:rowOff>9525</xdr:rowOff>
    </xdr:from>
    <xdr:to>
      <xdr:col>15</xdr:col>
      <xdr:colOff>381000</xdr:colOff>
      <xdr:row>145</xdr:row>
      <xdr:rowOff>9525</xdr:rowOff>
    </xdr:to>
    <xdr:pic>
      <xdr:nvPicPr>
        <xdr:cNvPr id="470" name="Picture 25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53825" y="27584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145</xdr:row>
      <xdr:rowOff>0</xdr:rowOff>
    </xdr:from>
    <xdr:to>
      <xdr:col>15</xdr:col>
      <xdr:colOff>381000</xdr:colOff>
      <xdr:row>145</xdr:row>
      <xdr:rowOff>190500</xdr:rowOff>
    </xdr:to>
    <xdr:pic>
      <xdr:nvPicPr>
        <xdr:cNvPr id="471" name="Picture 25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53825" y="27765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371475</xdr:colOff>
      <xdr:row>145</xdr:row>
      <xdr:rowOff>0</xdr:rowOff>
    </xdr:from>
    <xdr:to>
      <xdr:col>15</xdr:col>
      <xdr:colOff>561975</xdr:colOff>
      <xdr:row>145</xdr:row>
      <xdr:rowOff>190500</xdr:rowOff>
    </xdr:to>
    <xdr:pic>
      <xdr:nvPicPr>
        <xdr:cNvPr id="472" name="Picture 21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734800" y="27765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146</xdr:row>
      <xdr:rowOff>9525</xdr:rowOff>
    </xdr:from>
    <xdr:to>
      <xdr:col>15</xdr:col>
      <xdr:colOff>381000</xdr:colOff>
      <xdr:row>147</xdr:row>
      <xdr:rowOff>9525</xdr:rowOff>
    </xdr:to>
    <xdr:pic>
      <xdr:nvPicPr>
        <xdr:cNvPr id="473" name="Grafik 472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53825" y="279749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160</xdr:row>
      <xdr:rowOff>9525</xdr:rowOff>
    </xdr:from>
    <xdr:to>
      <xdr:col>15</xdr:col>
      <xdr:colOff>200025</xdr:colOff>
      <xdr:row>161</xdr:row>
      <xdr:rowOff>9525</xdr:rowOff>
    </xdr:to>
    <xdr:pic>
      <xdr:nvPicPr>
        <xdr:cNvPr id="474" name="Picture 266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372850" y="30651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175</xdr:row>
      <xdr:rowOff>9525</xdr:rowOff>
    </xdr:from>
    <xdr:to>
      <xdr:col>15</xdr:col>
      <xdr:colOff>381000</xdr:colOff>
      <xdr:row>176</xdr:row>
      <xdr:rowOff>9525</xdr:rowOff>
    </xdr:to>
    <xdr:pic>
      <xdr:nvPicPr>
        <xdr:cNvPr id="475" name="Picture 227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53825" y="33518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175</xdr:row>
      <xdr:rowOff>9525</xdr:rowOff>
    </xdr:from>
    <xdr:to>
      <xdr:col>15</xdr:col>
      <xdr:colOff>200025</xdr:colOff>
      <xdr:row>176</xdr:row>
      <xdr:rowOff>9525</xdr:rowOff>
    </xdr:to>
    <xdr:pic>
      <xdr:nvPicPr>
        <xdr:cNvPr id="477" name="Picture 226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72850" y="27203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177</xdr:row>
      <xdr:rowOff>9525</xdr:rowOff>
    </xdr:from>
    <xdr:to>
      <xdr:col>15</xdr:col>
      <xdr:colOff>381000</xdr:colOff>
      <xdr:row>178</xdr:row>
      <xdr:rowOff>9525</xdr:rowOff>
    </xdr:to>
    <xdr:pic>
      <xdr:nvPicPr>
        <xdr:cNvPr id="478" name="Picture 213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553825" y="33899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178</xdr:row>
      <xdr:rowOff>0</xdr:rowOff>
    </xdr:from>
    <xdr:to>
      <xdr:col>15</xdr:col>
      <xdr:colOff>200025</xdr:colOff>
      <xdr:row>178</xdr:row>
      <xdr:rowOff>190500</xdr:rowOff>
    </xdr:to>
    <xdr:pic>
      <xdr:nvPicPr>
        <xdr:cNvPr id="479" name="Picture 235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277653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561975</xdr:colOff>
      <xdr:row>178</xdr:row>
      <xdr:rowOff>0</xdr:rowOff>
    </xdr:from>
    <xdr:to>
      <xdr:col>15</xdr:col>
      <xdr:colOff>752475</xdr:colOff>
      <xdr:row>178</xdr:row>
      <xdr:rowOff>190500</xdr:rowOff>
    </xdr:to>
    <xdr:pic>
      <xdr:nvPicPr>
        <xdr:cNvPr id="485" name="Picture 21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925300" y="34080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180975</xdr:colOff>
      <xdr:row>178</xdr:row>
      <xdr:rowOff>9525</xdr:rowOff>
    </xdr:from>
    <xdr:to>
      <xdr:col>15</xdr:col>
      <xdr:colOff>371475</xdr:colOff>
      <xdr:row>179</xdr:row>
      <xdr:rowOff>0</xdr:rowOff>
    </xdr:to>
    <xdr:pic>
      <xdr:nvPicPr>
        <xdr:cNvPr id="486" name="Picture 213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544300" y="34089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177</xdr:row>
      <xdr:rowOff>0</xdr:rowOff>
    </xdr:from>
    <xdr:to>
      <xdr:col>15</xdr:col>
      <xdr:colOff>190500</xdr:colOff>
      <xdr:row>178</xdr:row>
      <xdr:rowOff>0</xdr:rowOff>
    </xdr:to>
    <xdr:pic>
      <xdr:nvPicPr>
        <xdr:cNvPr id="487" name="Picture 235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63325" y="33889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176</xdr:row>
      <xdr:rowOff>9525</xdr:rowOff>
    </xdr:from>
    <xdr:to>
      <xdr:col>15</xdr:col>
      <xdr:colOff>190500</xdr:colOff>
      <xdr:row>177</xdr:row>
      <xdr:rowOff>9525</xdr:rowOff>
    </xdr:to>
    <xdr:pic>
      <xdr:nvPicPr>
        <xdr:cNvPr id="488" name="Picture 235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63325" y="33708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174</xdr:row>
      <xdr:rowOff>9525</xdr:rowOff>
    </xdr:from>
    <xdr:to>
      <xdr:col>15</xdr:col>
      <xdr:colOff>190500</xdr:colOff>
      <xdr:row>175</xdr:row>
      <xdr:rowOff>9525</xdr:rowOff>
    </xdr:to>
    <xdr:pic>
      <xdr:nvPicPr>
        <xdr:cNvPr id="489" name="Picture 235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63325" y="33327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174</xdr:row>
      <xdr:rowOff>9525</xdr:rowOff>
    </xdr:from>
    <xdr:to>
      <xdr:col>15</xdr:col>
      <xdr:colOff>381000</xdr:colOff>
      <xdr:row>175</xdr:row>
      <xdr:rowOff>9525</xdr:rowOff>
    </xdr:to>
    <xdr:pic>
      <xdr:nvPicPr>
        <xdr:cNvPr id="490" name="Picture 213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553825" y="33327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176</xdr:row>
      <xdr:rowOff>9525</xdr:rowOff>
    </xdr:from>
    <xdr:to>
      <xdr:col>15</xdr:col>
      <xdr:colOff>381000</xdr:colOff>
      <xdr:row>177</xdr:row>
      <xdr:rowOff>9525</xdr:rowOff>
    </xdr:to>
    <xdr:pic>
      <xdr:nvPicPr>
        <xdr:cNvPr id="491" name="Picture 213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553825" y="33708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174</xdr:row>
      <xdr:rowOff>0</xdr:rowOff>
    </xdr:from>
    <xdr:to>
      <xdr:col>15</xdr:col>
      <xdr:colOff>571500</xdr:colOff>
      <xdr:row>175</xdr:row>
      <xdr:rowOff>0</xdr:rowOff>
    </xdr:to>
    <xdr:pic>
      <xdr:nvPicPr>
        <xdr:cNvPr id="492" name="Grafik 491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744325" y="333184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175</xdr:row>
      <xdr:rowOff>0</xdr:rowOff>
    </xdr:from>
    <xdr:to>
      <xdr:col>15</xdr:col>
      <xdr:colOff>571500</xdr:colOff>
      <xdr:row>176</xdr:row>
      <xdr:rowOff>0</xdr:rowOff>
    </xdr:to>
    <xdr:pic>
      <xdr:nvPicPr>
        <xdr:cNvPr id="493" name="Grafik 492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744325" y="335089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176</xdr:row>
      <xdr:rowOff>0</xdr:rowOff>
    </xdr:from>
    <xdr:to>
      <xdr:col>15</xdr:col>
      <xdr:colOff>571500</xdr:colOff>
      <xdr:row>177</xdr:row>
      <xdr:rowOff>0</xdr:rowOff>
    </xdr:to>
    <xdr:pic>
      <xdr:nvPicPr>
        <xdr:cNvPr id="494" name="Grafik 493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744325" y="336994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177</xdr:row>
      <xdr:rowOff>0</xdr:rowOff>
    </xdr:from>
    <xdr:to>
      <xdr:col>15</xdr:col>
      <xdr:colOff>571500</xdr:colOff>
      <xdr:row>178</xdr:row>
      <xdr:rowOff>0</xdr:rowOff>
    </xdr:to>
    <xdr:pic>
      <xdr:nvPicPr>
        <xdr:cNvPr id="495" name="Grafik 494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744325" y="338899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371475</xdr:colOff>
      <xdr:row>178</xdr:row>
      <xdr:rowOff>0</xdr:rowOff>
    </xdr:from>
    <xdr:to>
      <xdr:col>15</xdr:col>
      <xdr:colOff>561975</xdr:colOff>
      <xdr:row>178</xdr:row>
      <xdr:rowOff>190500</xdr:rowOff>
    </xdr:to>
    <xdr:pic>
      <xdr:nvPicPr>
        <xdr:cNvPr id="496" name="Grafik 495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734800" y="340804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193</xdr:row>
      <xdr:rowOff>9525</xdr:rowOff>
    </xdr:from>
    <xdr:to>
      <xdr:col>15</xdr:col>
      <xdr:colOff>200025</xdr:colOff>
      <xdr:row>194</xdr:row>
      <xdr:rowOff>9525</xdr:rowOff>
    </xdr:to>
    <xdr:pic>
      <xdr:nvPicPr>
        <xdr:cNvPr id="460" name="Picture 32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36966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193</xdr:row>
      <xdr:rowOff>0</xdr:rowOff>
    </xdr:from>
    <xdr:to>
      <xdr:col>15</xdr:col>
      <xdr:colOff>390525</xdr:colOff>
      <xdr:row>194</xdr:row>
      <xdr:rowOff>0</xdr:rowOff>
    </xdr:to>
    <xdr:pic>
      <xdr:nvPicPr>
        <xdr:cNvPr id="461" name="Grafik 460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563350" y="3695700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390525</xdr:colOff>
      <xdr:row>193</xdr:row>
      <xdr:rowOff>0</xdr:rowOff>
    </xdr:from>
    <xdr:to>
      <xdr:col>15</xdr:col>
      <xdr:colOff>581025</xdr:colOff>
      <xdr:row>194</xdr:row>
      <xdr:rowOff>0</xdr:rowOff>
    </xdr:to>
    <xdr:pic>
      <xdr:nvPicPr>
        <xdr:cNvPr id="476" name="Picture 298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753850" y="36957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581025</xdr:colOff>
      <xdr:row>193</xdr:row>
      <xdr:rowOff>0</xdr:rowOff>
    </xdr:from>
    <xdr:to>
      <xdr:col>15</xdr:col>
      <xdr:colOff>771525</xdr:colOff>
      <xdr:row>194</xdr:row>
      <xdr:rowOff>0</xdr:rowOff>
    </xdr:to>
    <xdr:pic>
      <xdr:nvPicPr>
        <xdr:cNvPr id="480" name="Picture 31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944350" y="36957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194</xdr:row>
      <xdr:rowOff>0</xdr:rowOff>
    </xdr:from>
    <xdr:to>
      <xdr:col>15</xdr:col>
      <xdr:colOff>390525</xdr:colOff>
      <xdr:row>195</xdr:row>
      <xdr:rowOff>0</xdr:rowOff>
    </xdr:to>
    <xdr:pic>
      <xdr:nvPicPr>
        <xdr:cNvPr id="481" name="Grafik 480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563350" y="3714750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390525</xdr:colOff>
      <xdr:row>194</xdr:row>
      <xdr:rowOff>0</xdr:rowOff>
    </xdr:from>
    <xdr:to>
      <xdr:col>15</xdr:col>
      <xdr:colOff>581025</xdr:colOff>
      <xdr:row>195</xdr:row>
      <xdr:rowOff>0</xdr:rowOff>
    </xdr:to>
    <xdr:pic>
      <xdr:nvPicPr>
        <xdr:cNvPr id="482" name="Picture 298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753850" y="37147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194</xdr:row>
      <xdr:rowOff>9525</xdr:rowOff>
    </xdr:from>
    <xdr:to>
      <xdr:col>15</xdr:col>
      <xdr:colOff>200025</xdr:colOff>
      <xdr:row>195</xdr:row>
      <xdr:rowOff>9525</xdr:rowOff>
    </xdr:to>
    <xdr:pic>
      <xdr:nvPicPr>
        <xdr:cNvPr id="483" name="Picture 325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372850" y="37157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195</xdr:row>
      <xdr:rowOff>0</xdr:rowOff>
    </xdr:from>
    <xdr:to>
      <xdr:col>15</xdr:col>
      <xdr:colOff>390525</xdr:colOff>
      <xdr:row>196</xdr:row>
      <xdr:rowOff>0</xdr:rowOff>
    </xdr:to>
    <xdr:pic>
      <xdr:nvPicPr>
        <xdr:cNvPr id="484" name="Grafik 483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563350" y="3733800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390525</xdr:colOff>
      <xdr:row>195</xdr:row>
      <xdr:rowOff>0</xdr:rowOff>
    </xdr:from>
    <xdr:to>
      <xdr:col>15</xdr:col>
      <xdr:colOff>581025</xdr:colOff>
      <xdr:row>196</xdr:row>
      <xdr:rowOff>0</xdr:rowOff>
    </xdr:to>
    <xdr:pic>
      <xdr:nvPicPr>
        <xdr:cNvPr id="497" name="Picture 298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753850" y="37338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195</xdr:row>
      <xdr:rowOff>9525</xdr:rowOff>
    </xdr:from>
    <xdr:to>
      <xdr:col>15</xdr:col>
      <xdr:colOff>200025</xdr:colOff>
      <xdr:row>196</xdr:row>
      <xdr:rowOff>9525</xdr:rowOff>
    </xdr:to>
    <xdr:pic>
      <xdr:nvPicPr>
        <xdr:cNvPr id="499" name="Picture 330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72850" y="37347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196</xdr:row>
      <xdr:rowOff>0</xdr:rowOff>
    </xdr:from>
    <xdr:to>
      <xdr:col>15</xdr:col>
      <xdr:colOff>390525</xdr:colOff>
      <xdr:row>197</xdr:row>
      <xdr:rowOff>0</xdr:rowOff>
    </xdr:to>
    <xdr:pic>
      <xdr:nvPicPr>
        <xdr:cNvPr id="500" name="Grafik 499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63350" y="3752850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196</xdr:row>
      <xdr:rowOff>9525</xdr:rowOff>
    </xdr:from>
    <xdr:to>
      <xdr:col>15</xdr:col>
      <xdr:colOff>200025</xdr:colOff>
      <xdr:row>197</xdr:row>
      <xdr:rowOff>9525</xdr:rowOff>
    </xdr:to>
    <xdr:pic>
      <xdr:nvPicPr>
        <xdr:cNvPr id="501" name="Picture 32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37538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196</xdr:row>
      <xdr:rowOff>0</xdr:rowOff>
    </xdr:from>
    <xdr:to>
      <xdr:col>15</xdr:col>
      <xdr:colOff>581025</xdr:colOff>
      <xdr:row>197</xdr:row>
      <xdr:rowOff>0</xdr:rowOff>
    </xdr:to>
    <xdr:pic>
      <xdr:nvPicPr>
        <xdr:cNvPr id="502" name="Picture 32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753850" y="37528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197</xdr:row>
      <xdr:rowOff>0</xdr:rowOff>
    </xdr:from>
    <xdr:to>
      <xdr:col>15</xdr:col>
      <xdr:colOff>200025</xdr:colOff>
      <xdr:row>197</xdr:row>
      <xdr:rowOff>190500</xdr:rowOff>
    </xdr:to>
    <xdr:pic>
      <xdr:nvPicPr>
        <xdr:cNvPr id="503" name="Picture 327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37719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197</xdr:row>
      <xdr:rowOff>0</xdr:rowOff>
    </xdr:from>
    <xdr:to>
      <xdr:col>15</xdr:col>
      <xdr:colOff>390525</xdr:colOff>
      <xdr:row>197</xdr:row>
      <xdr:rowOff>190500</xdr:rowOff>
    </xdr:to>
    <xdr:pic>
      <xdr:nvPicPr>
        <xdr:cNvPr id="504" name="Picture 319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63350" y="37719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197</xdr:row>
      <xdr:rowOff>0</xdr:rowOff>
    </xdr:from>
    <xdr:to>
      <xdr:col>15</xdr:col>
      <xdr:colOff>581025</xdr:colOff>
      <xdr:row>197</xdr:row>
      <xdr:rowOff>190500</xdr:rowOff>
    </xdr:to>
    <xdr:pic>
      <xdr:nvPicPr>
        <xdr:cNvPr id="505" name="Picture 273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1753850" y="37719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581025</xdr:colOff>
      <xdr:row>197</xdr:row>
      <xdr:rowOff>9525</xdr:rowOff>
    </xdr:from>
    <xdr:to>
      <xdr:col>15</xdr:col>
      <xdr:colOff>771525</xdr:colOff>
      <xdr:row>198</xdr:row>
      <xdr:rowOff>0</xdr:rowOff>
    </xdr:to>
    <xdr:pic>
      <xdr:nvPicPr>
        <xdr:cNvPr id="506" name="Picture 298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944350" y="37728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762000</xdr:colOff>
      <xdr:row>197</xdr:row>
      <xdr:rowOff>9525</xdr:rowOff>
    </xdr:from>
    <xdr:to>
      <xdr:col>15</xdr:col>
      <xdr:colOff>952500</xdr:colOff>
      <xdr:row>198</xdr:row>
      <xdr:rowOff>0</xdr:rowOff>
    </xdr:to>
    <xdr:pic>
      <xdr:nvPicPr>
        <xdr:cNvPr id="507" name="Picture 32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125325" y="377285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203</xdr:row>
      <xdr:rowOff>0</xdr:rowOff>
    </xdr:from>
    <xdr:to>
      <xdr:col>15</xdr:col>
      <xdr:colOff>200025</xdr:colOff>
      <xdr:row>204</xdr:row>
      <xdr:rowOff>0</xdr:rowOff>
    </xdr:to>
    <xdr:pic>
      <xdr:nvPicPr>
        <xdr:cNvPr id="508" name="Picture 325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372850" y="38881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203</xdr:row>
      <xdr:rowOff>0</xdr:rowOff>
    </xdr:from>
    <xdr:to>
      <xdr:col>15</xdr:col>
      <xdr:colOff>381000</xdr:colOff>
      <xdr:row>204</xdr:row>
      <xdr:rowOff>0</xdr:rowOff>
    </xdr:to>
    <xdr:pic>
      <xdr:nvPicPr>
        <xdr:cNvPr id="509" name="Picture 33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53825" y="38881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203</xdr:row>
      <xdr:rowOff>9525</xdr:rowOff>
    </xdr:from>
    <xdr:to>
      <xdr:col>15</xdr:col>
      <xdr:colOff>571500</xdr:colOff>
      <xdr:row>204</xdr:row>
      <xdr:rowOff>9525</xdr:rowOff>
    </xdr:to>
    <xdr:pic>
      <xdr:nvPicPr>
        <xdr:cNvPr id="510" name="Picture 339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744325" y="38890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571500</xdr:colOff>
      <xdr:row>203</xdr:row>
      <xdr:rowOff>9525</xdr:rowOff>
    </xdr:from>
    <xdr:to>
      <xdr:col>15</xdr:col>
      <xdr:colOff>762000</xdr:colOff>
      <xdr:row>204</xdr:row>
      <xdr:rowOff>9525</xdr:rowOff>
    </xdr:to>
    <xdr:pic>
      <xdr:nvPicPr>
        <xdr:cNvPr id="511" name="Picture 34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934825" y="38890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204</xdr:row>
      <xdr:rowOff>0</xdr:rowOff>
    </xdr:from>
    <xdr:to>
      <xdr:col>15</xdr:col>
      <xdr:colOff>190500</xdr:colOff>
      <xdr:row>205</xdr:row>
      <xdr:rowOff>0</xdr:rowOff>
    </xdr:to>
    <xdr:pic>
      <xdr:nvPicPr>
        <xdr:cNvPr id="512" name="Picture 327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63325" y="390715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205</xdr:row>
      <xdr:rowOff>0</xdr:rowOff>
    </xdr:from>
    <xdr:to>
      <xdr:col>15</xdr:col>
      <xdr:colOff>200025</xdr:colOff>
      <xdr:row>206</xdr:row>
      <xdr:rowOff>0</xdr:rowOff>
    </xdr:to>
    <xdr:pic>
      <xdr:nvPicPr>
        <xdr:cNvPr id="513" name="Picture 324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39262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206</xdr:row>
      <xdr:rowOff>0</xdr:rowOff>
    </xdr:from>
    <xdr:to>
      <xdr:col>15</xdr:col>
      <xdr:colOff>200025</xdr:colOff>
      <xdr:row>206</xdr:row>
      <xdr:rowOff>190500</xdr:rowOff>
    </xdr:to>
    <xdr:pic>
      <xdr:nvPicPr>
        <xdr:cNvPr id="514" name="Picture 330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72850" y="394525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204</xdr:row>
      <xdr:rowOff>0</xdr:rowOff>
    </xdr:from>
    <xdr:to>
      <xdr:col>15</xdr:col>
      <xdr:colOff>381000</xdr:colOff>
      <xdr:row>205</xdr:row>
      <xdr:rowOff>0</xdr:rowOff>
    </xdr:to>
    <xdr:pic>
      <xdr:nvPicPr>
        <xdr:cNvPr id="515" name="Picture 33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53825" y="390715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204</xdr:row>
      <xdr:rowOff>9525</xdr:rowOff>
    </xdr:from>
    <xdr:to>
      <xdr:col>15</xdr:col>
      <xdr:colOff>571500</xdr:colOff>
      <xdr:row>205</xdr:row>
      <xdr:rowOff>9525</xdr:rowOff>
    </xdr:to>
    <xdr:pic>
      <xdr:nvPicPr>
        <xdr:cNvPr id="516" name="Picture 339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744325" y="39081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571500</xdr:colOff>
      <xdr:row>204</xdr:row>
      <xdr:rowOff>9525</xdr:rowOff>
    </xdr:from>
    <xdr:to>
      <xdr:col>15</xdr:col>
      <xdr:colOff>762000</xdr:colOff>
      <xdr:row>205</xdr:row>
      <xdr:rowOff>9525</xdr:rowOff>
    </xdr:to>
    <xdr:pic>
      <xdr:nvPicPr>
        <xdr:cNvPr id="517" name="Picture 34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934825" y="39081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205</xdr:row>
      <xdr:rowOff>0</xdr:rowOff>
    </xdr:from>
    <xdr:to>
      <xdr:col>15</xdr:col>
      <xdr:colOff>381000</xdr:colOff>
      <xdr:row>206</xdr:row>
      <xdr:rowOff>0</xdr:rowOff>
    </xdr:to>
    <xdr:pic>
      <xdr:nvPicPr>
        <xdr:cNvPr id="518" name="Picture 33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53825" y="392620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205</xdr:row>
      <xdr:rowOff>9525</xdr:rowOff>
    </xdr:from>
    <xdr:to>
      <xdr:col>15</xdr:col>
      <xdr:colOff>571500</xdr:colOff>
      <xdr:row>206</xdr:row>
      <xdr:rowOff>9525</xdr:rowOff>
    </xdr:to>
    <xdr:pic>
      <xdr:nvPicPr>
        <xdr:cNvPr id="519" name="Picture 339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744325" y="39271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571500</xdr:colOff>
      <xdr:row>205</xdr:row>
      <xdr:rowOff>9525</xdr:rowOff>
    </xdr:from>
    <xdr:to>
      <xdr:col>15</xdr:col>
      <xdr:colOff>762000</xdr:colOff>
      <xdr:row>206</xdr:row>
      <xdr:rowOff>9525</xdr:rowOff>
    </xdr:to>
    <xdr:pic>
      <xdr:nvPicPr>
        <xdr:cNvPr id="520" name="Picture 34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934825" y="39271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206</xdr:row>
      <xdr:rowOff>0</xdr:rowOff>
    </xdr:from>
    <xdr:to>
      <xdr:col>15</xdr:col>
      <xdr:colOff>381000</xdr:colOff>
      <xdr:row>206</xdr:row>
      <xdr:rowOff>190500</xdr:rowOff>
    </xdr:to>
    <xdr:pic>
      <xdr:nvPicPr>
        <xdr:cNvPr id="521" name="Picture 337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53825" y="394525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206</xdr:row>
      <xdr:rowOff>9525</xdr:rowOff>
    </xdr:from>
    <xdr:to>
      <xdr:col>15</xdr:col>
      <xdr:colOff>571500</xdr:colOff>
      <xdr:row>207</xdr:row>
      <xdr:rowOff>0</xdr:rowOff>
    </xdr:to>
    <xdr:pic>
      <xdr:nvPicPr>
        <xdr:cNvPr id="522" name="Picture 339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744325" y="39462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571500</xdr:colOff>
      <xdr:row>206</xdr:row>
      <xdr:rowOff>9525</xdr:rowOff>
    </xdr:from>
    <xdr:to>
      <xdr:col>15</xdr:col>
      <xdr:colOff>762000</xdr:colOff>
      <xdr:row>207</xdr:row>
      <xdr:rowOff>0</xdr:rowOff>
    </xdr:to>
    <xdr:pic>
      <xdr:nvPicPr>
        <xdr:cNvPr id="523" name="Picture 34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934825" y="394620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269</xdr:row>
      <xdr:rowOff>9525</xdr:rowOff>
    </xdr:from>
    <xdr:to>
      <xdr:col>15</xdr:col>
      <xdr:colOff>190500</xdr:colOff>
      <xdr:row>270</xdr:row>
      <xdr:rowOff>9525</xdr:rowOff>
    </xdr:to>
    <xdr:pic>
      <xdr:nvPicPr>
        <xdr:cNvPr id="524" name="Picture 7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63325" y="51520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274</xdr:row>
      <xdr:rowOff>0</xdr:rowOff>
    </xdr:from>
    <xdr:to>
      <xdr:col>15</xdr:col>
      <xdr:colOff>200025</xdr:colOff>
      <xdr:row>275</xdr:row>
      <xdr:rowOff>0</xdr:rowOff>
    </xdr:to>
    <xdr:pic>
      <xdr:nvPicPr>
        <xdr:cNvPr id="525" name="Picture 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52473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293</xdr:row>
      <xdr:rowOff>9525</xdr:rowOff>
    </xdr:from>
    <xdr:to>
      <xdr:col>15</xdr:col>
      <xdr:colOff>190500</xdr:colOff>
      <xdr:row>294</xdr:row>
      <xdr:rowOff>9525</xdr:rowOff>
    </xdr:to>
    <xdr:pic>
      <xdr:nvPicPr>
        <xdr:cNvPr id="527" name="Picture 5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63325" y="56121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307</xdr:row>
      <xdr:rowOff>9525</xdr:rowOff>
    </xdr:from>
    <xdr:to>
      <xdr:col>15</xdr:col>
      <xdr:colOff>190500</xdr:colOff>
      <xdr:row>308</xdr:row>
      <xdr:rowOff>9525</xdr:rowOff>
    </xdr:to>
    <xdr:pic>
      <xdr:nvPicPr>
        <xdr:cNvPr id="528" name="Picture 48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63325" y="588073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307</xdr:row>
      <xdr:rowOff>0</xdr:rowOff>
    </xdr:from>
    <xdr:to>
      <xdr:col>15</xdr:col>
      <xdr:colOff>381000</xdr:colOff>
      <xdr:row>308</xdr:row>
      <xdr:rowOff>0</xdr:rowOff>
    </xdr:to>
    <xdr:pic>
      <xdr:nvPicPr>
        <xdr:cNvPr id="529" name="Picture 30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53825" y="58797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307</xdr:row>
      <xdr:rowOff>0</xdr:rowOff>
    </xdr:from>
    <xdr:to>
      <xdr:col>15</xdr:col>
      <xdr:colOff>571500</xdr:colOff>
      <xdr:row>308</xdr:row>
      <xdr:rowOff>0</xdr:rowOff>
    </xdr:to>
    <xdr:pic>
      <xdr:nvPicPr>
        <xdr:cNvPr id="530" name="Grafik 529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744325" y="587978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270</xdr:row>
      <xdr:rowOff>9525</xdr:rowOff>
    </xdr:from>
    <xdr:to>
      <xdr:col>15</xdr:col>
      <xdr:colOff>200025</xdr:colOff>
      <xdr:row>271</xdr:row>
      <xdr:rowOff>9525</xdr:rowOff>
    </xdr:to>
    <xdr:pic>
      <xdr:nvPicPr>
        <xdr:cNvPr id="531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51711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271</xdr:row>
      <xdr:rowOff>0</xdr:rowOff>
    </xdr:from>
    <xdr:to>
      <xdr:col>15</xdr:col>
      <xdr:colOff>200025</xdr:colOff>
      <xdr:row>272</xdr:row>
      <xdr:rowOff>0</xdr:rowOff>
    </xdr:to>
    <xdr:pic>
      <xdr:nvPicPr>
        <xdr:cNvPr id="532" name="Picture 3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372850" y="51892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272</xdr:row>
      <xdr:rowOff>0</xdr:rowOff>
    </xdr:from>
    <xdr:to>
      <xdr:col>15</xdr:col>
      <xdr:colOff>200025</xdr:colOff>
      <xdr:row>273</xdr:row>
      <xdr:rowOff>0</xdr:rowOff>
    </xdr:to>
    <xdr:pic>
      <xdr:nvPicPr>
        <xdr:cNvPr id="533" name="Picture 30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52082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272</xdr:row>
      <xdr:rowOff>0</xdr:rowOff>
    </xdr:from>
    <xdr:to>
      <xdr:col>15</xdr:col>
      <xdr:colOff>381000</xdr:colOff>
      <xdr:row>273</xdr:row>
      <xdr:rowOff>0</xdr:rowOff>
    </xdr:to>
    <xdr:pic>
      <xdr:nvPicPr>
        <xdr:cNvPr id="534" name="Picture 15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553825" y="520827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273</xdr:row>
      <xdr:rowOff>0</xdr:rowOff>
    </xdr:from>
    <xdr:to>
      <xdr:col>15</xdr:col>
      <xdr:colOff>200025</xdr:colOff>
      <xdr:row>273</xdr:row>
      <xdr:rowOff>190500</xdr:rowOff>
    </xdr:to>
    <xdr:pic>
      <xdr:nvPicPr>
        <xdr:cNvPr id="535" name="Picture 7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72850" y="52273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273</xdr:row>
      <xdr:rowOff>0</xdr:rowOff>
    </xdr:from>
    <xdr:to>
      <xdr:col>15</xdr:col>
      <xdr:colOff>390525</xdr:colOff>
      <xdr:row>273</xdr:row>
      <xdr:rowOff>190500</xdr:rowOff>
    </xdr:to>
    <xdr:pic>
      <xdr:nvPicPr>
        <xdr:cNvPr id="536" name="Picture 4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563350" y="52273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273</xdr:row>
      <xdr:rowOff>9525</xdr:rowOff>
    </xdr:from>
    <xdr:to>
      <xdr:col>15</xdr:col>
      <xdr:colOff>581025</xdr:colOff>
      <xdr:row>274</xdr:row>
      <xdr:rowOff>0</xdr:rowOff>
    </xdr:to>
    <xdr:pic>
      <xdr:nvPicPr>
        <xdr:cNvPr id="537" name="Picture 19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1753850" y="52282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571500</xdr:colOff>
      <xdr:row>273</xdr:row>
      <xdr:rowOff>9525</xdr:rowOff>
    </xdr:from>
    <xdr:to>
      <xdr:col>15</xdr:col>
      <xdr:colOff>762000</xdr:colOff>
      <xdr:row>274</xdr:row>
      <xdr:rowOff>0</xdr:rowOff>
    </xdr:to>
    <xdr:pic>
      <xdr:nvPicPr>
        <xdr:cNvPr id="538" name="Picture 18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934825" y="52282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275</xdr:row>
      <xdr:rowOff>0</xdr:rowOff>
    </xdr:from>
    <xdr:to>
      <xdr:col>15</xdr:col>
      <xdr:colOff>200025</xdr:colOff>
      <xdr:row>276</xdr:row>
      <xdr:rowOff>0</xdr:rowOff>
    </xdr:to>
    <xdr:pic>
      <xdr:nvPicPr>
        <xdr:cNvPr id="539" name="Picture 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52663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275</xdr:row>
      <xdr:rowOff>0</xdr:rowOff>
    </xdr:from>
    <xdr:to>
      <xdr:col>15</xdr:col>
      <xdr:colOff>390525</xdr:colOff>
      <xdr:row>276</xdr:row>
      <xdr:rowOff>0</xdr:rowOff>
    </xdr:to>
    <xdr:pic>
      <xdr:nvPicPr>
        <xdr:cNvPr id="540" name="Picture 4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563350" y="52663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276</xdr:row>
      <xdr:rowOff>0</xdr:rowOff>
    </xdr:from>
    <xdr:to>
      <xdr:col>15</xdr:col>
      <xdr:colOff>200025</xdr:colOff>
      <xdr:row>277</xdr:row>
      <xdr:rowOff>0</xdr:rowOff>
    </xdr:to>
    <xdr:pic>
      <xdr:nvPicPr>
        <xdr:cNvPr id="541" name="Picture 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52854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276</xdr:row>
      <xdr:rowOff>0</xdr:rowOff>
    </xdr:from>
    <xdr:to>
      <xdr:col>15</xdr:col>
      <xdr:colOff>390525</xdr:colOff>
      <xdr:row>277</xdr:row>
      <xdr:rowOff>0</xdr:rowOff>
    </xdr:to>
    <xdr:pic>
      <xdr:nvPicPr>
        <xdr:cNvPr id="542" name="Picture 4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563350" y="52854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278</xdr:row>
      <xdr:rowOff>0</xdr:rowOff>
    </xdr:from>
    <xdr:to>
      <xdr:col>15</xdr:col>
      <xdr:colOff>200025</xdr:colOff>
      <xdr:row>278</xdr:row>
      <xdr:rowOff>190500</xdr:rowOff>
    </xdr:to>
    <xdr:pic>
      <xdr:nvPicPr>
        <xdr:cNvPr id="543" name="Picture 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53235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371475</xdr:colOff>
      <xdr:row>275</xdr:row>
      <xdr:rowOff>0</xdr:rowOff>
    </xdr:from>
    <xdr:to>
      <xdr:col>15</xdr:col>
      <xdr:colOff>561975</xdr:colOff>
      <xdr:row>276</xdr:row>
      <xdr:rowOff>0</xdr:rowOff>
    </xdr:to>
    <xdr:pic>
      <xdr:nvPicPr>
        <xdr:cNvPr id="545" name="Picture 30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34800" y="52663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277</xdr:row>
      <xdr:rowOff>0</xdr:rowOff>
    </xdr:from>
    <xdr:to>
      <xdr:col>15</xdr:col>
      <xdr:colOff>200025</xdr:colOff>
      <xdr:row>278</xdr:row>
      <xdr:rowOff>0</xdr:rowOff>
    </xdr:to>
    <xdr:pic>
      <xdr:nvPicPr>
        <xdr:cNvPr id="546" name="Picture 4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372850" y="530447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277</xdr:row>
      <xdr:rowOff>0</xdr:rowOff>
    </xdr:from>
    <xdr:to>
      <xdr:col>15</xdr:col>
      <xdr:colOff>390525</xdr:colOff>
      <xdr:row>278</xdr:row>
      <xdr:rowOff>0</xdr:rowOff>
    </xdr:to>
    <xdr:pic>
      <xdr:nvPicPr>
        <xdr:cNvPr id="547" name="Grafik 546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63350" y="530447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294</xdr:row>
      <xdr:rowOff>9525</xdr:rowOff>
    </xdr:from>
    <xdr:to>
      <xdr:col>15</xdr:col>
      <xdr:colOff>190500</xdr:colOff>
      <xdr:row>295</xdr:row>
      <xdr:rowOff>9525</xdr:rowOff>
    </xdr:to>
    <xdr:pic>
      <xdr:nvPicPr>
        <xdr:cNvPr id="549" name="Picture 5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63325" y="56311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296</xdr:row>
      <xdr:rowOff>9525</xdr:rowOff>
    </xdr:from>
    <xdr:to>
      <xdr:col>15</xdr:col>
      <xdr:colOff>200025</xdr:colOff>
      <xdr:row>297</xdr:row>
      <xdr:rowOff>9525</xdr:rowOff>
    </xdr:to>
    <xdr:pic>
      <xdr:nvPicPr>
        <xdr:cNvPr id="551" name="Picture 5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56692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295</xdr:row>
      <xdr:rowOff>9525</xdr:rowOff>
    </xdr:from>
    <xdr:to>
      <xdr:col>15</xdr:col>
      <xdr:colOff>190500</xdr:colOff>
      <xdr:row>296</xdr:row>
      <xdr:rowOff>9525</xdr:rowOff>
    </xdr:to>
    <xdr:pic>
      <xdr:nvPicPr>
        <xdr:cNvPr id="554" name="Picture 64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363325" y="56502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342900</xdr:colOff>
      <xdr:row>293</xdr:row>
      <xdr:rowOff>9525</xdr:rowOff>
    </xdr:from>
    <xdr:to>
      <xdr:col>15</xdr:col>
      <xdr:colOff>533400</xdr:colOff>
      <xdr:row>294</xdr:row>
      <xdr:rowOff>9525</xdr:rowOff>
    </xdr:to>
    <xdr:pic>
      <xdr:nvPicPr>
        <xdr:cNvPr id="555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706225" y="56121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533400</xdr:colOff>
      <xdr:row>293</xdr:row>
      <xdr:rowOff>0</xdr:rowOff>
    </xdr:from>
    <xdr:to>
      <xdr:col>15</xdr:col>
      <xdr:colOff>723900</xdr:colOff>
      <xdr:row>294</xdr:row>
      <xdr:rowOff>0</xdr:rowOff>
    </xdr:to>
    <xdr:pic>
      <xdr:nvPicPr>
        <xdr:cNvPr id="556" name="Picture 3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896725" y="56111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342900</xdr:colOff>
      <xdr:row>294</xdr:row>
      <xdr:rowOff>9525</xdr:rowOff>
    </xdr:from>
    <xdr:to>
      <xdr:col>15</xdr:col>
      <xdr:colOff>533400</xdr:colOff>
      <xdr:row>295</xdr:row>
      <xdr:rowOff>9525</xdr:rowOff>
    </xdr:to>
    <xdr:pic>
      <xdr:nvPicPr>
        <xdr:cNvPr id="557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706225" y="56311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533400</xdr:colOff>
      <xdr:row>294</xdr:row>
      <xdr:rowOff>0</xdr:rowOff>
    </xdr:from>
    <xdr:to>
      <xdr:col>15</xdr:col>
      <xdr:colOff>723900</xdr:colOff>
      <xdr:row>295</xdr:row>
      <xdr:rowOff>0</xdr:rowOff>
    </xdr:to>
    <xdr:pic>
      <xdr:nvPicPr>
        <xdr:cNvPr id="558" name="Picture 3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896725" y="56302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352425</xdr:colOff>
      <xdr:row>295</xdr:row>
      <xdr:rowOff>9525</xdr:rowOff>
    </xdr:from>
    <xdr:to>
      <xdr:col>15</xdr:col>
      <xdr:colOff>542925</xdr:colOff>
      <xdr:row>296</xdr:row>
      <xdr:rowOff>9525</xdr:rowOff>
    </xdr:to>
    <xdr:pic>
      <xdr:nvPicPr>
        <xdr:cNvPr id="559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715750" y="56502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542925</xdr:colOff>
      <xdr:row>295</xdr:row>
      <xdr:rowOff>0</xdr:rowOff>
    </xdr:from>
    <xdr:to>
      <xdr:col>15</xdr:col>
      <xdr:colOff>733425</xdr:colOff>
      <xdr:row>296</xdr:row>
      <xdr:rowOff>0</xdr:rowOff>
    </xdr:to>
    <xdr:pic>
      <xdr:nvPicPr>
        <xdr:cNvPr id="560" name="Picture 3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906250" y="56492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352425</xdr:colOff>
      <xdr:row>296</xdr:row>
      <xdr:rowOff>9525</xdr:rowOff>
    </xdr:from>
    <xdr:to>
      <xdr:col>15</xdr:col>
      <xdr:colOff>542925</xdr:colOff>
      <xdr:row>297</xdr:row>
      <xdr:rowOff>9525</xdr:rowOff>
    </xdr:to>
    <xdr:pic>
      <xdr:nvPicPr>
        <xdr:cNvPr id="561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715750" y="56692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542925</xdr:colOff>
      <xdr:row>296</xdr:row>
      <xdr:rowOff>0</xdr:rowOff>
    </xdr:from>
    <xdr:to>
      <xdr:col>15</xdr:col>
      <xdr:colOff>733425</xdr:colOff>
      <xdr:row>297</xdr:row>
      <xdr:rowOff>0</xdr:rowOff>
    </xdr:to>
    <xdr:pic>
      <xdr:nvPicPr>
        <xdr:cNvPr id="562" name="Picture 3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906250" y="566832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180975</xdr:colOff>
      <xdr:row>297</xdr:row>
      <xdr:rowOff>0</xdr:rowOff>
    </xdr:from>
    <xdr:to>
      <xdr:col>15</xdr:col>
      <xdr:colOff>371475</xdr:colOff>
      <xdr:row>297</xdr:row>
      <xdr:rowOff>190500</xdr:rowOff>
    </xdr:to>
    <xdr:pic>
      <xdr:nvPicPr>
        <xdr:cNvPr id="563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544300" y="56873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371475</xdr:colOff>
      <xdr:row>297</xdr:row>
      <xdr:rowOff>0</xdr:rowOff>
    </xdr:from>
    <xdr:to>
      <xdr:col>15</xdr:col>
      <xdr:colOff>561975</xdr:colOff>
      <xdr:row>297</xdr:row>
      <xdr:rowOff>190500</xdr:rowOff>
    </xdr:to>
    <xdr:pic>
      <xdr:nvPicPr>
        <xdr:cNvPr id="564" name="Picture 3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734800" y="56873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295</xdr:row>
      <xdr:rowOff>9525</xdr:rowOff>
    </xdr:from>
    <xdr:to>
      <xdr:col>15</xdr:col>
      <xdr:colOff>352425</xdr:colOff>
      <xdr:row>296</xdr:row>
      <xdr:rowOff>9525</xdr:rowOff>
    </xdr:to>
    <xdr:pic>
      <xdr:nvPicPr>
        <xdr:cNvPr id="565" name="Picture 60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553825" y="5650230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297</xdr:row>
      <xdr:rowOff>0</xdr:rowOff>
    </xdr:from>
    <xdr:to>
      <xdr:col>15</xdr:col>
      <xdr:colOff>190500</xdr:colOff>
      <xdr:row>297</xdr:row>
      <xdr:rowOff>190500</xdr:rowOff>
    </xdr:to>
    <xdr:pic>
      <xdr:nvPicPr>
        <xdr:cNvPr id="566" name="Picture 52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63325" y="568737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309</xdr:row>
      <xdr:rowOff>9525</xdr:rowOff>
    </xdr:from>
    <xdr:to>
      <xdr:col>15</xdr:col>
      <xdr:colOff>190500</xdr:colOff>
      <xdr:row>310</xdr:row>
      <xdr:rowOff>9525</xdr:rowOff>
    </xdr:to>
    <xdr:pic>
      <xdr:nvPicPr>
        <xdr:cNvPr id="567" name="Picture 48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63325" y="591883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309</xdr:row>
      <xdr:rowOff>0</xdr:rowOff>
    </xdr:from>
    <xdr:to>
      <xdr:col>15</xdr:col>
      <xdr:colOff>381000</xdr:colOff>
      <xdr:row>310</xdr:row>
      <xdr:rowOff>0</xdr:rowOff>
    </xdr:to>
    <xdr:pic>
      <xdr:nvPicPr>
        <xdr:cNvPr id="568" name="Picture 30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53825" y="59178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309</xdr:row>
      <xdr:rowOff>0</xdr:rowOff>
    </xdr:from>
    <xdr:to>
      <xdr:col>15</xdr:col>
      <xdr:colOff>571500</xdr:colOff>
      <xdr:row>310</xdr:row>
      <xdr:rowOff>0</xdr:rowOff>
    </xdr:to>
    <xdr:pic>
      <xdr:nvPicPr>
        <xdr:cNvPr id="569" name="Grafik 568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744325" y="591788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310</xdr:row>
      <xdr:rowOff>9525</xdr:rowOff>
    </xdr:from>
    <xdr:to>
      <xdr:col>15</xdr:col>
      <xdr:colOff>190500</xdr:colOff>
      <xdr:row>311</xdr:row>
      <xdr:rowOff>9525</xdr:rowOff>
    </xdr:to>
    <xdr:pic>
      <xdr:nvPicPr>
        <xdr:cNvPr id="570" name="Picture 48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63325" y="593788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310</xdr:row>
      <xdr:rowOff>0</xdr:rowOff>
    </xdr:from>
    <xdr:to>
      <xdr:col>15</xdr:col>
      <xdr:colOff>381000</xdr:colOff>
      <xdr:row>311</xdr:row>
      <xdr:rowOff>0</xdr:rowOff>
    </xdr:to>
    <xdr:pic>
      <xdr:nvPicPr>
        <xdr:cNvPr id="571" name="Picture 30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53825" y="59369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310</xdr:row>
      <xdr:rowOff>0</xdr:rowOff>
    </xdr:from>
    <xdr:to>
      <xdr:col>15</xdr:col>
      <xdr:colOff>571500</xdr:colOff>
      <xdr:row>311</xdr:row>
      <xdr:rowOff>0</xdr:rowOff>
    </xdr:to>
    <xdr:pic>
      <xdr:nvPicPr>
        <xdr:cNvPr id="572" name="Grafik 571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744325" y="593693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311</xdr:row>
      <xdr:rowOff>9525</xdr:rowOff>
    </xdr:from>
    <xdr:to>
      <xdr:col>15</xdr:col>
      <xdr:colOff>190500</xdr:colOff>
      <xdr:row>312</xdr:row>
      <xdr:rowOff>0</xdr:rowOff>
    </xdr:to>
    <xdr:pic>
      <xdr:nvPicPr>
        <xdr:cNvPr id="573" name="Picture 48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63325" y="595693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311</xdr:row>
      <xdr:rowOff>0</xdr:rowOff>
    </xdr:from>
    <xdr:to>
      <xdr:col>15</xdr:col>
      <xdr:colOff>381000</xdr:colOff>
      <xdr:row>311</xdr:row>
      <xdr:rowOff>190500</xdr:rowOff>
    </xdr:to>
    <xdr:pic>
      <xdr:nvPicPr>
        <xdr:cNvPr id="574" name="Picture 30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53825" y="595598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311</xdr:row>
      <xdr:rowOff>0</xdr:rowOff>
    </xdr:from>
    <xdr:to>
      <xdr:col>15</xdr:col>
      <xdr:colOff>571500</xdr:colOff>
      <xdr:row>311</xdr:row>
      <xdr:rowOff>190500</xdr:rowOff>
    </xdr:to>
    <xdr:pic>
      <xdr:nvPicPr>
        <xdr:cNvPr id="575" name="Grafik 574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744325" y="595598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308</xdr:row>
      <xdr:rowOff>0</xdr:rowOff>
    </xdr:from>
    <xdr:to>
      <xdr:col>15</xdr:col>
      <xdr:colOff>571500</xdr:colOff>
      <xdr:row>309</xdr:row>
      <xdr:rowOff>0</xdr:rowOff>
    </xdr:to>
    <xdr:pic>
      <xdr:nvPicPr>
        <xdr:cNvPr id="576" name="Grafik 575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744325" y="589883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308</xdr:row>
      <xdr:rowOff>0</xdr:rowOff>
    </xdr:from>
    <xdr:to>
      <xdr:col>15</xdr:col>
      <xdr:colOff>190500</xdr:colOff>
      <xdr:row>309</xdr:row>
      <xdr:rowOff>0</xdr:rowOff>
    </xdr:to>
    <xdr:pic>
      <xdr:nvPicPr>
        <xdr:cNvPr id="577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63325" y="58988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308</xdr:row>
      <xdr:rowOff>0</xdr:rowOff>
    </xdr:from>
    <xdr:to>
      <xdr:col>15</xdr:col>
      <xdr:colOff>381000</xdr:colOff>
      <xdr:row>309</xdr:row>
      <xdr:rowOff>0</xdr:rowOff>
    </xdr:to>
    <xdr:pic>
      <xdr:nvPicPr>
        <xdr:cNvPr id="578" name="Picture 3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553825" y="589883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318</xdr:row>
      <xdr:rowOff>0</xdr:rowOff>
    </xdr:from>
    <xdr:to>
      <xdr:col>15</xdr:col>
      <xdr:colOff>200025</xdr:colOff>
      <xdr:row>319</xdr:row>
      <xdr:rowOff>0</xdr:rowOff>
    </xdr:to>
    <xdr:pic>
      <xdr:nvPicPr>
        <xdr:cNvPr id="608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60921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319</xdr:row>
      <xdr:rowOff>0</xdr:rowOff>
    </xdr:from>
    <xdr:to>
      <xdr:col>15</xdr:col>
      <xdr:colOff>200025</xdr:colOff>
      <xdr:row>320</xdr:row>
      <xdr:rowOff>0</xdr:rowOff>
    </xdr:to>
    <xdr:pic>
      <xdr:nvPicPr>
        <xdr:cNvPr id="609" name="Picture 30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61112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320</xdr:row>
      <xdr:rowOff>0</xdr:rowOff>
    </xdr:from>
    <xdr:to>
      <xdr:col>15</xdr:col>
      <xdr:colOff>200025</xdr:colOff>
      <xdr:row>321</xdr:row>
      <xdr:rowOff>0</xdr:rowOff>
    </xdr:to>
    <xdr:pic>
      <xdr:nvPicPr>
        <xdr:cNvPr id="610" name="Picture 48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72850" y="61302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321</xdr:row>
      <xdr:rowOff>0</xdr:rowOff>
    </xdr:from>
    <xdr:to>
      <xdr:col>15</xdr:col>
      <xdr:colOff>200025</xdr:colOff>
      <xdr:row>322</xdr:row>
      <xdr:rowOff>0</xdr:rowOff>
    </xdr:to>
    <xdr:pic>
      <xdr:nvPicPr>
        <xdr:cNvPr id="611" name="Picture 36" descr="http://www.demonlords.de/images/shared/dl4/grafikpack-full/icons/20x20/wind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372850" y="61493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322</xdr:row>
      <xdr:rowOff>0</xdr:rowOff>
    </xdr:from>
    <xdr:to>
      <xdr:col>15</xdr:col>
      <xdr:colOff>200025</xdr:colOff>
      <xdr:row>322</xdr:row>
      <xdr:rowOff>190500</xdr:rowOff>
    </xdr:to>
    <xdr:pic>
      <xdr:nvPicPr>
        <xdr:cNvPr id="612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616839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322</xdr:row>
      <xdr:rowOff>9525</xdr:rowOff>
    </xdr:from>
    <xdr:to>
      <xdr:col>15</xdr:col>
      <xdr:colOff>390525</xdr:colOff>
      <xdr:row>323</xdr:row>
      <xdr:rowOff>0</xdr:rowOff>
    </xdr:to>
    <xdr:pic>
      <xdr:nvPicPr>
        <xdr:cNvPr id="613" name="Picture 92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563350" y="61693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321</xdr:row>
      <xdr:rowOff>9525</xdr:rowOff>
    </xdr:from>
    <xdr:to>
      <xdr:col>15</xdr:col>
      <xdr:colOff>390525</xdr:colOff>
      <xdr:row>322</xdr:row>
      <xdr:rowOff>9525</xdr:rowOff>
    </xdr:to>
    <xdr:pic>
      <xdr:nvPicPr>
        <xdr:cNvPr id="614" name="Picture 106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563350" y="61502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323</xdr:row>
      <xdr:rowOff>0</xdr:rowOff>
    </xdr:from>
    <xdr:to>
      <xdr:col>15</xdr:col>
      <xdr:colOff>200025</xdr:colOff>
      <xdr:row>324</xdr:row>
      <xdr:rowOff>0</xdr:rowOff>
    </xdr:to>
    <xdr:pic>
      <xdr:nvPicPr>
        <xdr:cNvPr id="615" name="Picture 100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61883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324</xdr:row>
      <xdr:rowOff>0</xdr:rowOff>
    </xdr:from>
    <xdr:to>
      <xdr:col>15</xdr:col>
      <xdr:colOff>190500</xdr:colOff>
      <xdr:row>325</xdr:row>
      <xdr:rowOff>0</xdr:rowOff>
    </xdr:to>
    <xdr:pic>
      <xdr:nvPicPr>
        <xdr:cNvPr id="616" name="Picture 100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63325" y="62074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326</xdr:row>
      <xdr:rowOff>0</xdr:rowOff>
    </xdr:from>
    <xdr:to>
      <xdr:col>15</xdr:col>
      <xdr:colOff>190500</xdr:colOff>
      <xdr:row>327</xdr:row>
      <xdr:rowOff>0</xdr:rowOff>
    </xdr:to>
    <xdr:pic>
      <xdr:nvPicPr>
        <xdr:cNvPr id="617" name="Picture 100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63325" y="62455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327</xdr:row>
      <xdr:rowOff>0</xdr:rowOff>
    </xdr:from>
    <xdr:to>
      <xdr:col>15</xdr:col>
      <xdr:colOff>200025</xdr:colOff>
      <xdr:row>327</xdr:row>
      <xdr:rowOff>190500</xdr:rowOff>
    </xdr:to>
    <xdr:pic>
      <xdr:nvPicPr>
        <xdr:cNvPr id="618" name="Picture 100" descr="Magie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372850" y="62645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323</xdr:row>
      <xdr:rowOff>0</xdr:rowOff>
    </xdr:from>
    <xdr:to>
      <xdr:col>15</xdr:col>
      <xdr:colOff>390525</xdr:colOff>
      <xdr:row>324</xdr:row>
      <xdr:rowOff>0</xdr:rowOff>
    </xdr:to>
    <xdr:pic>
      <xdr:nvPicPr>
        <xdr:cNvPr id="619" name="Grafik 618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563350" y="618839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390525</xdr:colOff>
      <xdr:row>323</xdr:row>
      <xdr:rowOff>9525</xdr:rowOff>
    </xdr:from>
    <xdr:to>
      <xdr:col>15</xdr:col>
      <xdr:colOff>581025</xdr:colOff>
      <xdr:row>324</xdr:row>
      <xdr:rowOff>9525</xdr:rowOff>
    </xdr:to>
    <xdr:pic>
      <xdr:nvPicPr>
        <xdr:cNvPr id="620" name="Picture 92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753850" y="61893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324</xdr:row>
      <xdr:rowOff>0</xdr:rowOff>
    </xdr:from>
    <xdr:to>
      <xdr:col>15</xdr:col>
      <xdr:colOff>381000</xdr:colOff>
      <xdr:row>325</xdr:row>
      <xdr:rowOff>0</xdr:rowOff>
    </xdr:to>
    <xdr:pic>
      <xdr:nvPicPr>
        <xdr:cNvPr id="621" name="Grafik 620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53825" y="620744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390525</xdr:colOff>
      <xdr:row>327</xdr:row>
      <xdr:rowOff>9525</xdr:rowOff>
    </xdr:from>
    <xdr:to>
      <xdr:col>15</xdr:col>
      <xdr:colOff>581025</xdr:colOff>
      <xdr:row>328</xdr:row>
      <xdr:rowOff>0</xdr:rowOff>
    </xdr:to>
    <xdr:pic>
      <xdr:nvPicPr>
        <xdr:cNvPr id="622" name="Picture 3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1753850" y="62655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</xdr:colOff>
      <xdr:row>325</xdr:row>
      <xdr:rowOff>0</xdr:rowOff>
    </xdr:from>
    <xdr:to>
      <xdr:col>15</xdr:col>
      <xdr:colOff>200025</xdr:colOff>
      <xdr:row>326</xdr:row>
      <xdr:rowOff>0</xdr:rowOff>
    </xdr:to>
    <xdr:pic>
      <xdr:nvPicPr>
        <xdr:cNvPr id="623" name="Picture 33" descr="http://www.demonlords.de/images/shared/dl4/grafikpack-full/icons/20x20/feu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72850" y="62264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325</xdr:row>
      <xdr:rowOff>0</xdr:rowOff>
    </xdr:from>
    <xdr:to>
      <xdr:col>15</xdr:col>
      <xdr:colOff>381000</xdr:colOff>
      <xdr:row>326</xdr:row>
      <xdr:rowOff>0</xdr:rowOff>
    </xdr:to>
    <xdr:pic>
      <xdr:nvPicPr>
        <xdr:cNvPr id="624" name="Grafik 623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53825" y="622649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190500</xdr:colOff>
      <xdr:row>326</xdr:row>
      <xdr:rowOff>9525</xdr:rowOff>
    </xdr:from>
    <xdr:to>
      <xdr:col>15</xdr:col>
      <xdr:colOff>381000</xdr:colOff>
      <xdr:row>327</xdr:row>
      <xdr:rowOff>9525</xdr:rowOff>
    </xdr:to>
    <xdr:pic>
      <xdr:nvPicPr>
        <xdr:cNvPr id="625" name="Grafik 624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53825" y="624649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200025</xdr:colOff>
      <xdr:row>327</xdr:row>
      <xdr:rowOff>0</xdr:rowOff>
    </xdr:from>
    <xdr:to>
      <xdr:col>15</xdr:col>
      <xdr:colOff>390525</xdr:colOff>
      <xdr:row>327</xdr:row>
      <xdr:rowOff>190500</xdr:rowOff>
    </xdr:to>
    <xdr:pic>
      <xdr:nvPicPr>
        <xdr:cNvPr id="626" name="Grafik 625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63350" y="626459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257175</xdr:colOff>
      <xdr:row>326</xdr:row>
      <xdr:rowOff>9525</xdr:rowOff>
    </xdr:from>
    <xdr:to>
      <xdr:col>15</xdr:col>
      <xdr:colOff>447675</xdr:colOff>
      <xdr:row>327</xdr:row>
      <xdr:rowOff>9525</xdr:rowOff>
    </xdr:to>
    <xdr:pic>
      <xdr:nvPicPr>
        <xdr:cNvPr id="628" name="Grafik 627" descr="undead.gif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620500" y="624649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304800</xdr:colOff>
      <xdr:row>326</xdr:row>
      <xdr:rowOff>9525</xdr:rowOff>
    </xdr:from>
    <xdr:to>
      <xdr:col>15</xdr:col>
      <xdr:colOff>495300</xdr:colOff>
      <xdr:row>327</xdr:row>
      <xdr:rowOff>9525</xdr:rowOff>
    </xdr:to>
    <xdr:pic>
      <xdr:nvPicPr>
        <xdr:cNvPr id="629" name="Picture 94" descr="Hat zweifachen Bonus gegen Drachen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668125" y="62464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326</xdr:row>
      <xdr:rowOff>9525</xdr:rowOff>
    </xdr:from>
    <xdr:to>
      <xdr:col>15</xdr:col>
      <xdr:colOff>581025</xdr:colOff>
      <xdr:row>327</xdr:row>
      <xdr:rowOff>9525</xdr:rowOff>
    </xdr:to>
    <xdr:pic>
      <xdr:nvPicPr>
        <xdr:cNvPr id="630" name="Picture 80" descr="Hat zweifachen Bonus gegen Dämon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1753850" y="62464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581025</xdr:colOff>
      <xdr:row>326</xdr:row>
      <xdr:rowOff>9525</xdr:rowOff>
    </xdr:from>
    <xdr:to>
      <xdr:col>15</xdr:col>
      <xdr:colOff>771525</xdr:colOff>
      <xdr:row>327</xdr:row>
      <xdr:rowOff>9525</xdr:rowOff>
    </xdr:to>
    <xdr:pic>
      <xdr:nvPicPr>
        <xdr:cNvPr id="631" name="Picture 85" descr="Fernkampfresistenz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1944350" y="62464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685800</xdr:colOff>
      <xdr:row>326</xdr:row>
      <xdr:rowOff>9525</xdr:rowOff>
    </xdr:from>
    <xdr:to>
      <xdr:col>15</xdr:col>
      <xdr:colOff>847725</xdr:colOff>
      <xdr:row>327</xdr:row>
      <xdr:rowOff>9525</xdr:rowOff>
    </xdr:to>
    <xdr:pic>
      <xdr:nvPicPr>
        <xdr:cNvPr id="632" name="Picture 82" descr="Magieresistenz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2049125" y="6246495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790575</xdr:colOff>
      <xdr:row>326</xdr:row>
      <xdr:rowOff>9525</xdr:rowOff>
    </xdr:from>
    <xdr:to>
      <xdr:col>15</xdr:col>
      <xdr:colOff>981075</xdr:colOff>
      <xdr:row>327</xdr:row>
      <xdr:rowOff>9525</xdr:rowOff>
    </xdr:to>
    <xdr:pic>
      <xdr:nvPicPr>
        <xdr:cNvPr id="633" name="Picture 10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153900" y="62464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885825</xdr:colOff>
      <xdr:row>326</xdr:row>
      <xdr:rowOff>9525</xdr:rowOff>
    </xdr:from>
    <xdr:to>
      <xdr:col>16</xdr:col>
      <xdr:colOff>0</xdr:colOff>
      <xdr:row>327</xdr:row>
      <xdr:rowOff>9525</xdr:rowOff>
    </xdr:to>
    <xdr:pic>
      <xdr:nvPicPr>
        <xdr:cNvPr id="627" name="Picture 3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2249150" y="62464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581025</xdr:colOff>
      <xdr:row>327</xdr:row>
      <xdr:rowOff>9525</xdr:rowOff>
    </xdr:from>
    <xdr:to>
      <xdr:col>15</xdr:col>
      <xdr:colOff>771525</xdr:colOff>
      <xdr:row>328</xdr:row>
      <xdr:rowOff>0</xdr:rowOff>
    </xdr:to>
    <xdr:pic>
      <xdr:nvPicPr>
        <xdr:cNvPr id="634" name="Picture 10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944350" y="626554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324</xdr:row>
      <xdr:rowOff>0</xdr:rowOff>
    </xdr:from>
    <xdr:to>
      <xdr:col>15</xdr:col>
      <xdr:colOff>571500</xdr:colOff>
      <xdr:row>325</xdr:row>
      <xdr:rowOff>0</xdr:rowOff>
    </xdr:to>
    <xdr:pic>
      <xdr:nvPicPr>
        <xdr:cNvPr id="635" name="Picture 345" descr="Greift pro Runde vier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1744325" y="620744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325</xdr:row>
      <xdr:rowOff>0</xdr:rowOff>
    </xdr:from>
    <xdr:to>
      <xdr:col>15</xdr:col>
      <xdr:colOff>571500</xdr:colOff>
      <xdr:row>326</xdr:row>
      <xdr:rowOff>0</xdr:rowOff>
    </xdr:to>
    <xdr:pic>
      <xdr:nvPicPr>
        <xdr:cNvPr id="636" name="Picture 345" descr="Greift pro Runde vier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1744325" y="62264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179</xdr:row>
      <xdr:rowOff>9525</xdr:rowOff>
    </xdr:from>
    <xdr:to>
      <xdr:col>15</xdr:col>
      <xdr:colOff>381000</xdr:colOff>
      <xdr:row>180</xdr:row>
      <xdr:rowOff>9525</xdr:rowOff>
    </xdr:to>
    <xdr:pic>
      <xdr:nvPicPr>
        <xdr:cNvPr id="579" name="Grafik 578" descr="human.gif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91925" y="3429000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15</xdr:col>
      <xdr:colOff>180975</xdr:colOff>
      <xdr:row>331</xdr:row>
      <xdr:rowOff>9525</xdr:rowOff>
    </xdr:from>
    <xdr:to>
      <xdr:col>15</xdr:col>
      <xdr:colOff>371475</xdr:colOff>
      <xdr:row>332</xdr:row>
      <xdr:rowOff>9525</xdr:rowOff>
    </xdr:to>
    <xdr:pic>
      <xdr:nvPicPr>
        <xdr:cNvPr id="580" name="Picture 102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582400" y="63436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351</xdr:row>
      <xdr:rowOff>0</xdr:rowOff>
    </xdr:from>
    <xdr:to>
      <xdr:col>15</xdr:col>
      <xdr:colOff>590550</xdr:colOff>
      <xdr:row>352</xdr:row>
      <xdr:rowOff>0</xdr:rowOff>
    </xdr:to>
    <xdr:pic>
      <xdr:nvPicPr>
        <xdr:cNvPr id="581" name="Picture 30" descr="http://www.demonlords.de/images/shared/dl4/grafikpack-full/icons/20x20/erd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34650" y="672560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113</xdr:row>
      <xdr:rowOff>9525</xdr:rowOff>
    </xdr:from>
    <xdr:to>
      <xdr:col>15</xdr:col>
      <xdr:colOff>581025</xdr:colOff>
      <xdr:row>114</xdr:row>
      <xdr:rowOff>9525</xdr:rowOff>
    </xdr:to>
    <xdr:pic>
      <xdr:nvPicPr>
        <xdr:cNvPr id="582" name="Picture 155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525125" y="216598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221</xdr:row>
      <xdr:rowOff>0</xdr:rowOff>
    </xdr:from>
    <xdr:to>
      <xdr:col>15</xdr:col>
      <xdr:colOff>581025</xdr:colOff>
      <xdr:row>222</xdr:row>
      <xdr:rowOff>0</xdr:rowOff>
    </xdr:to>
    <xdr:pic>
      <xdr:nvPicPr>
        <xdr:cNvPr id="583" name="Picture 385" descr="Distanz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525125" y="423291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37</xdr:row>
      <xdr:rowOff>9525</xdr:rowOff>
    </xdr:from>
    <xdr:to>
      <xdr:col>15</xdr:col>
      <xdr:colOff>390525</xdr:colOff>
      <xdr:row>38</xdr:row>
      <xdr:rowOff>9525</xdr:rowOff>
    </xdr:to>
    <xdr:pic>
      <xdr:nvPicPr>
        <xdr:cNvPr id="586" name="Picture 1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001250" y="71056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38</xdr:row>
      <xdr:rowOff>9525</xdr:rowOff>
    </xdr:from>
    <xdr:to>
      <xdr:col>15</xdr:col>
      <xdr:colOff>381000</xdr:colOff>
      <xdr:row>39</xdr:row>
      <xdr:rowOff>9525</xdr:rowOff>
    </xdr:to>
    <xdr:pic>
      <xdr:nvPicPr>
        <xdr:cNvPr id="587" name="Picture 1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991725" y="72961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146</xdr:row>
      <xdr:rowOff>9525</xdr:rowOff>
    </xdr:from>
    <xdr:to>
      <xdr:col>15</xdr:col>
      <xdr:colOff>571500</xdr:colOff>
      <xdr:row>147</xdr:row>
      <xdr:rowOff>9525</xdr:rowOff>
    </xdr:to>
    <xdr:pic>
      <xdr:nvPicPr>
        <xdr:cNvPr id="601" name="Picture 24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182225" y="279749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158</xdr:row>
      <xdr:rowOff>0</xdr:rowOff>
    </xdr:from>
    <xdr:to>
      <xdr:col>15</xdr:col>
      <xdr:colOff>581025</xdr:colOff>
      <xdr:row>159</xdr:row>
      <xdr:rowOff>0</xdr:rowOff>
    </xdr:to>
    <xdr:pic>
      <xdr:nvPicPr>
        <xdr:cNvPr id="638" name="Picture 21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0191750" y="302514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187</xdr:row>
      <xdr:rowOff>0</xdr:rowOff>
    </xdr:from>
    <xdr:to>
      <xdr:col>15</xdr:col>
      <xdr:colOff>581025</xdr:colOff>
      <xdr:row>188</xdr:row>
      <xdr:rowOff>0</xdr:rowOff>
    </xdr:to>
    <xdr:pic>
      <xdr:nvPicPr>
        <xdr:cNvPr id="641" name="Picture 24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191750" y="35804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190</xdr:row>
      <xdr:rowOff>9525</xdr:rowOff>
    </xdr:from>
    <xdr:to>
      <xdr:col>15</xdr:col>
      <xdr:colOff>581025</xdr:colOff>
      <xdr:row>191</xdr:row>
      <xdr:rowOff>9525</xdr:rowOff>
    </xdr:to>
    <xdr:pic>
      <xdr:nvPicPr>
        <xdr:cNvPr id="642" name="Picture 24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191750" y="36385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581025</xdr:colOff>
      <xdr:row>194</xdr:row>
      <xdr:rowOff>0</xdr:rowOff>
    </xdr:from>
    <xdr:to>
      <xdr:col>15</xdr:col>
      <xdr:colOff>771525</xdr:colOff>
      <xdr:row>195</xdr:row>
      <xdr:rowOff>0</xdr:rowOff>
    </xdr:to>
    <xdr:pic>
      <xdr:nvPicPr>
        <xdr:cNvPr id="594" name="Picture 243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382250" y="37147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219</xdr:row>
      <xdr:rowOff>0</xdr:rowOff>
    </xdr:from>
    <xdr:to>
      <xdr:col>15</xdr:col>
      <xdr:colOff>381000</xdr:colOff>
      <xdr:row>220</xdr:row>
      <xdr:rowOff>0</xdr:rowOff>
    </xdr:to>
    <xdr:pic>
      <xdr:nvPicPr>
        <xdr:cNvPr id="599" name="Picture 345" descr="Greift pro Runde vier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9991725" y="419385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390525</xdr:colOff>
      <xdr:row>229</xdr:row>
      <xdr:rowOff>9525</xdr:rowOff>
    </xdr:from>
    <xdr:to>
      <xdr:col>15</xdr:col>
      <xdr:colOff>581025</xdr:colOff>
      <xdr:row>230</xdr:row>
      <xdr:rowOff>9525</xdr:rowOff>
    </xdr:to>
    <xdr:pic>
      <xdr:nvPicPr>
        <xdr:cNvPr id="602" name="Picture 347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191750" y="43862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590550</xdr:colOff>
      <xdr:row>245</xdr:row>
      <xdr:rowOff>0</xdr:rowOff>
    </xdr:from>
    <xdr:to>
      <xdr:col>15</xdr:col>
      <xdr:colOff>781050</xdr:colOff>
      <xdr:row>246</xdr:row>
      <xdr:rowOff>0</xdr:rowOff>
    </xdr:to>
    <xdr:pic>
      <xdr:nvPicPr>
        <xdr:cNvPr id="603" name="Picture 345" descr="Greift pro Runde vier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0391775" y="469106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762000</xdr:colOff>
      <xdr:row>247</xdr:row>
      <xdr:rowOff>9525</xdr:rowOff>
    </xdr:from>
    <xdr:to>
      <xdr:col>15</xdr:col>
      <xdr:colOff>923925</xdr:colOff>
      <xdr:row>248</xdr:row>
      <xdr:rowOff>0</xdr:rowOff>
    </xdr:to>
    <xdr:pic>
      <xdr:nvPicPr>
        <xdr:cNvPr id="604" name="Picture 431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563225" y="4730115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400050</xdr:colOff>
      <xdr:row>266</xdr:row>
      <xdr:rowOff>0</xdr:rowOff>
    </xdr:from>
    <xdr:to>
      <xdr:col>15</xdr:col>
      <xdr:colOff>590550</xdr:colOff>
      <xdr:row>267</xdr:row>
      <xdr:rowOff>0</xdr:rowOff>
    </xdr:to>
    <xdr:pic>
      <xdr:nvPicPr>
        <xdr:cNvPr id="605" name="Picture 439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01275" y="509301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278</xdr:row>
      <xdr:rowOff>0</xdr:rowOff>
    </xdr:from>
    <xdr:to>
      <xdr:col>15</xdr:col>
      <xdr:colOff>390525</xdr:colOff>
      <xdr:row>278</xdr:row>
      <xdr:rowOff>190500</xdr:rowOff>
    </xdr:to>
    <xdr:pic>
      <xdr:nvPicPr>
        <xdr:cNvPr id="606" name="Picture 3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0001250" y="53235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200025</xdr:colOff>
      <xdr:row>287</xdr:row>
      <xdr:rowOff>0</xdr:rowOff>
    </xdr:from>
    <xdr:to>
      <xdr:col>15</xdr:col>
      <xdr:colOff>390525</xdr:colOff>
      <xdr:row>288</xdr:row>
      <xdr:rowOff>0</xdr:rowOff>
    </xdr:to>
    <xdr:pic>
      <xdr:nvPicPr>
        <xdr:cNvPr id="607" name="Picture 3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0001250" y="549592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590550</xdr:colOff>
      <xdr:row>291</xdr:row>
      <xdr:rowOff>0</xdr:rowOff>
    </xdr:from>
    <xdr:to>
      <xdr:col>15</xdr:col>
      <xdr:colOff>781050</xdr:colOff>
      <xdr:row>292</xdr:row>
      <xdr:rowOff>0</xdr:rowOff>
    </xdr:to>
    <xdr:pic>
      <xdr:nvPicPr>
        <xdr:cNvPr id="637" name="Picture 3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0391775" y="557212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293</xdr:row>
      <xdr:rowOff>9525</xdr:rowOff>
    </xdr:from>
    <xdr:to>
      <xdr:col>15</xdr:col>
      <xdr:colOff>352425</xdr:colOff>
      <xdr:row>294</xdr:row>
      <xdr:rowOff>9525</xdr:rowOff>
    </xdr:to>
    <xdr:pic>
      <xdr:nvPicPr>
        <xdr:cNvPr id="640" name="Picture 55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991725" y="56121300"/>
          <a:ext cx="1619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171450</xdr:colOff>
      <xdr:row>294</xdr:row>
      <xdr:rowOff>9525</xdr:rowOff>
    </xdr:from>
    <xdr:to>
      <xdr:col>15</xdr:col>
      <xdr:colOff>361950</xdr:colOff>
      <xdr:row>295</xdr:row>
      <xdr:rowOff>9525</xdr:rowOff>
    </xdr:to>
    <xdr:pic>
      <xdr:nvPicPr>
        <xdr:cNvPr id="643" name="Picture 3" descr="Greift pro Runde fünf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9972675" y="56311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161925</xdr:colOff>
      <xdr:row>296</xdr:row>
      <xdr:rowOff>9525</xdr:rowOff>
    </xdr:from>
    <xdr:to>
      <xdr:col>15</xdr:col>
      <xdr:colOff>352425</xdr:colOff>
      <xdr:row>297</xdr:row>
      <xdr:rowOff>9525</xdr:rowOff>
    </xdr:to>
    <xdr:pic>
      <xdr:nvPicPr>
        <xdr:cNvPr id="644" name="Picture 345" descr="Greift pro Runde vier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9963150" y="56692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590550</xdr:colOff>
      <xdr:row>305</xdr:row>
      <xdr:rowOff>0</xdr:rowOff>
    </xdr:from>
    <xdr:to>
      <xdr:col>15</xdr:col>
      <xdr:colOff>781050</xdr:colOff>
      <xdr:row>306</xdr:row>
      <xdr:rowOff>0</xdr:rowOff>
    </xdr:to>
    <xdr:pic>
      <xdr:nvPicPr>
        <xdr:cNvPr id="647" name="Picture 345" descr="Greift pro Runde vier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0391775" y="584073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330</xdr:row>
      <xdr:rowOff>0</xdr:rowOff>
    </xdr:from>
    <xdr:to>
      <xdr:col>15</xdr:col>
      <xdr:colOff>571500</xdr:colOff>
      <xdr:row>330</xdr:row>
      <xdr:rowOff>190500</xdr:rowOff>
    </xdr:to>
    <xdr:pic>
      <xdr:nvPicPr>
        <xdr:cNvPr id="648" name="Picture 106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182225" y="6322695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333</xdr:row>
      <xdr:rowOff>9525</xdr:rowOff>
    </xdr:from>
    <xdr:to>
      <xdr:col>15</xdr:col>
      <xdr:colOff>381000</xdr:colOff>
      <xdr:row>334</xdr:row>
      <xdr:rowOff>9525</xdr:rowOff>
    </xdr:to>
    <xdr:pic>
      <xdr:nvPicPr>
        <xdr:cNvPr id="650" name="Picture 92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991725" y="638175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371475</xdr:colOff>
      <xdr:row>331</xdr:row>
      <xdr:rowOff>0</xdr:rowOff>
    </xdr:from>
    <xdr:to>
      <xdr:col>15</xdr:col>
      <xdr:colOff>561975</xdr:colOff>
      <xdr:row>332</xdr:row>
      <xdr:rowOff>0</xdr:rowOff>
    </xdr:to>
    <xdr:pic>
      <xdr:nvPicPr>
        <xdr:cNvPr id="652" name="Picture 106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172700" y="634269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180975</xdr:colOff>
      <xdr:row>52</xdr:row>
      <xdr:rowOff>9525</xdr:rowOff>
    </xdr:from>
    <xdr:to>
      <xdr:col>15</xdr:col>
      <xdr:colOff>371475</xdr:colOff>
      <xdr:row>53</xdr:row>
      <xdr:rowOff>9525</xdr:rowOff>
    </xdr:to>
    <xdr:pic>
      <xdr:nvPicPr>
        <xdr:cNvPr id="653" name="Picture 8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982200" y="99726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66</xdr:row>
      <xdr:rowOff>9525</xdr:rowOff>
    </xdr:from>
    <xdr:to>
      <xdr:col>15</xdr:col>
      <xdr:colOff>381000</xdr:colOff>
      <xdr:row>67</xdr:row>
      <xdr:rowOff>9525</xdr:rowOff>
    </xdr:to>
    <xdr:pic>
      <xdr:nvPicPr>
        <xdr:cNvPr id="654" name="Picture 88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991725" y="126492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581025</xdr:colOff>
      <xdr:row>195</xdr:row>
      <xdr:rowOff>0</xdr:rowOff>
    </xdr:from>
    <xdr:to>
      <xdr:col>15</xdr:col>
      <xdr:colOff>771525</xdr:colOff>
      <xdr:row>196</xdr:row>
      <xdr:rowOff>0</xdr:rowOff>
    </xdr:to>
    <xdr:pic>
      <xdr:nvPicPr>
        <xdr:cNvPr id="656" name="Picture 214" descr="Greift pro Runde dr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0382250" y="373380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274</xdr:row>
      <xdr:rowOff>0</xdr:rowOff>
    </xdr:from>
    <xdr:to>
      <xdr:col>15</xdr:col>
      <xdr:colOff>381000</xdr:colOff>
      <xdr:row>275</xdr:row>
      <xdr:rowOff>0</xdr:rowOff>
    </xdr:to>
    <xdr:pic>
      <xdr:nvPicPr>
        <xdr:cNvPr id="646" name="Picture 439" descr="Greift pro Runde zweimalig mit voller Stärke an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991725" y="5247322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561975</xdr:colOff>
      <xdr:row>331</xdr:row>
      <xdr:rowOff>9525</xdr:rowOff>
    </xdr:from>
    <xdr:to>
      <xdr:col>15</xdr:col>
      <xdr:colOff>752475</xdr:colOff>
      <xdr:row>332</xdr:row>
      <xdr:rowOff>9525</xdr:rowOff>
    </xdr:to>
    <xdr:pic>
      <xdr:nvPicPr>
        <xdr:cNvPr id="639" name="Picture 48" descr="http://www.demonlords.de/images/shared/dl4/grafikpack-full/icons/20x20/ei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363200" y="63436500"/>
          <a:ext cx="190500" cy="190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2"/>
  <dimension ref="A1:AT163"/>
  <sheetViews>
    <sheetView tabSelected="1" zoomScale="70" zoomScaleNormal="70" workbookViewId="0">
      <selection activeCell="D24" sqref="D24"/>
    </sheetView>
  </sheetViews>
  <sheetFormatPr baseColWidth="10" defaultRowHeight="15"/>
  <cols>
    <col min="1" max="1" width="19.42578125" customWidth="1"/>
    <col min="2" max="2" width="14.42578125" customWidth="1"/>
    <col min="3" max="3" width="12.85546875" bestFit="1" customWidth="1"/>
    <col min="4" max="4" width="13.140625" bestFit="1" customWidth="1"/>
    <col min="5" max="5" width="15.7109375" bestFit="1" customWidth="1"/>
    <col min="6" max="6" width="18.140625" customWidth="1"/>
    <col min="7" max="7" width="13.28515625" customWidth="1"/>
    <col min="8" max="8" width="18.85546875" customWidth="1"/>
    <col min="9" max="9" width="19.42578125" customWidth="1"/>
    <col min="10" max="10" width="19.85546875" style="8" customWidth="1"/>
    <col min="11" max="11" width="15.85546875" style="8" customWidth="1"/>
    <col min="12" max="12" width="2.5703125" style="8" customWidth="1"/>
    <col min="13" max="13" width="15" style="8" customWidth="1"/>
    <col min="14" max="14" width="13.5703125" style="8" customWidth="1"/>
    <col min="15" max="15" width="12.42578125" style="8" customWidth="1"/>
    <col min="16" max="16" width="13.5703125" style="8" customWidth="1"/>
    <col min="17" max="17" width="2.85546875" customWidth="1"/>
    <col min="18" max="19" width="2.5703125" customWidth="1"/>
    <col min="20" max="20" width="12.85546875" customWidth="1"/>
    <col min="21" max="21" width="11.42578125" customWidth="1"/>
    <col min="22" max="22" width="13.140625" bestFit="1" customWidth="1"/>
    <col min="23" max="23" width="9.5703125" customWidth="1"/>
    <col min="24" max="25" width="15.28515625" bestFit="1" customWidth="1"/>
    <col min="26" max="26" width="8" customWidth="1"/>
    <col min="27" max="28" width="5.85546875" customWidth="1"/>
    <col min="29" max="29" width="5.5703125" customWidth="1"/>
    <col min="30" max="30" width="13.85546875" customWidth="1"/>
    <col min="31" max="31" width="11.7109375" bestFit="1" customWidth="1"/>
    <col min="33" max="33" width="2.85546875" customWidth="1"/>
    <col min="34" max="34" width="2.28515625" customWidth="1"/>
    <col min="36" max="36" width="18" customWidth="1"/>
    <col min="39" max="39" width="17.7109375" customWidth="1"/>
    <col min="40" max="40" width="23.5703125" customWidth="1"/>
    <col min="41" max="41" width="16.140625" bestFit="1" customWidth="1"/>
  </cols>
  <sheetData>
    <row r="1" spans="1:25" ht="25.5" customHeight="1">
      <c r="A1" s="2" t="s">
        <v>0</v>
      </c>
    </row>
    <row r="2" spans="1:25" ht="18" customHeight="1">
      <c r="A2" s="2"/>
      <c r="T2" s="226" t="s">
        <v>469</v>
      </c>
      <c r="U2" s="25"/>
      <c r="V2" s="25"/>
      <c r="W2" s="226" t="s">
        <v>395</v>
      </c>
    </row>
    <row r="3" spans="1:25" ht="18" customHeight="1">
      <c r="A3" s="2"/>
      <c r="B3" s="115" t="s">
        <v>648</v>
      </c>
    </row>
    <row r="4" spans="1:25" ht="18" customHeight="1">
      <c r="A4" s="2"/>
      <c r="B4" s="231" t="s">
        <v>647</v>
      </c>
      <c r="O4" s="227" t="s">
        <v>646</v>
      </c>
      <c r="T4" s="132" t="s">
        <v>396</v>
      </c>
      <c r="U4" s="74" t="s">
        <v>706</v>
      </c>
      <c r="W4" s="132" t="s">
        <v>396</v>
      </c>
      <c r="X4" s="132" t="s">
        <v>22</v>
      </c>
    </row>
    <row r="5" spans="1:25" ht="18" customHeight="1">
      <c r="A5" s="2"/>
      <c r="B5" s="115" t="s">
        <v>467</v>
      </c>
      <c r="T5" s="5" t="s">
        <v>409</v>
      </c>
      <c r="U5" s="225">
        <f>$W$50*$Y$42</f>
        <v>6999.9999999999991</v>
      </c>
      <c r="W5" s="5" t="s">
        <v>2</v>
      </c>
      <c r="X5" s="296">
        <f>AE34/AE35</f>
        <v>1.6839711191335742</v>
      </c>
    </row>
    <row r="6" spans="1:25" ht="18" customHeight="1">
      <c r="A6" s="186" t="s">
        <v>21</v>
      </c>
      <c r="B6" s="25"/>
      <c r="C6" s="212" t="s">
        <v>2</v>
      </c>
      <c r="D6" s="212" t="s">
        <v>3</v>
      </c>
      <c r="E6" s="212" t="s">
        <v>4</v>
      </c>
      <c r="F6" s="212" t="s">
        <v>5</v>
      </c>
      <c r="G6" s="212" t="s">
        <v>6</v>
      </c>
      <c r="H6" s="184"/>
      <c r="I6" s="184"/>
      <c r="J6" s="192"/>
      <c r="O6" s="183" t="s">
        <v>422</v>
      </c>
      <c r="P6" s="201" t="s">
        <v>423</v>
      </c>
      <c r="T6" s="5" t="s">
        <v>410</v>
      </c>
      <c r="U6" s="225">
        <f>$W$51*$AA$42</f>
        <v>2362.5</v>
      </c>
      <c r="W6" s="5" t="s">
        <v>3</v>
      </c>
      <c r="X6" s="296">
        <f>AE35/AE35</f>
        <v>1</v>
      </c>
    </row>
    <row r="7" spans="1:25" ht="18" customHeight="1">
      <c r="B7" s="25"/>
      <c r="C7" s="182">
        <v>2.4900000000000002</v>
      </c>
      <c r="D7" s="193">
        <v>1</v>
      </c>
      <c r="E7" s="182">
        <v>2.4</v>
      </c>
      <c r="F7" s="182">
        <v>2.2599999999999998</v>
      </c>
      <c r="G7" s="182">
        <v>1.89</v>
      </c>
      <c r="H7" s="184"/>
      <c r="I7" s="184"/>
      <c r="J7" s="192"/>
      <c r="N7" s="214" t="s">
        <v>59</v>
      </c>
      <c r="O7" s="195">
        <v>28</v>
      </c>
      <c r="P7" s="191">
        <v>27</v>
      </c>
      <c r="T7" s="5" t="s">
        <v>411</v>
      </c>
      <c r="U7" s="225">
        <f>$W$52*$Z$42</f>
        <v>5179.1666666666661</v>
      </c>
      <c r="W7" s="5" t="s">
        <v>4</v>
      </c>
      <c r="X7" s="296">
        <f>AE36/AE35</f>
        <v>1.971985559566787</v>
      </c>
    </row>
    <row r="8" spans="1:25" ht="18" customHeight="1" thickBot="1">
      <c r="A8" s="2"/>
      <c r="C8" s="184"/>
      <c r="D8" s="184"/>
      <c r="E8" s="184"/>
      <c r="F8" s="184"/>
      <c r="G8" s="184"/>
      <c r="H8" s="184"/>
      <c r="I8" s="184"/>
      <c r="J8" s="192"/>
      <c r="N8" s="217" t="s">
        <v>645</v>
      </c>
      <c r="O8" s="195">
        <v>300000</v>
      </c>
      <c r="P8" s="195">
        <v>300000</v>
      </c>
      <c r="T8" s="5" t="s">
        <v>408</v>
      </c>
      <c r="U8" s="225">
        <f>$W$53*$X$42</f>
        <v>3571.4285714285716</v>
      </c>
      <c r="W8" s="5" t="s">
        <v>5</v>
      </c>
      <c r="X8" s="296">
        <f>AE37/AE35</f>
        <v>1.5093862815884478</v>
      </c>
    </row>
    <row r="9" spans="1:25" ht="18" customHeight="1" thickBot="1">
      <c r="A9" s="186" t="s">
        <v>632</v>
      </c>
      <c r="C9" s="218" t="s">
        <v>634</v>
      </c>
      <c r="D9" s="218" t="s">
        <v>633</v>
      </c>
      <c r="E9" s="218" t="s">
        <v>635</v>
      </c>
      <c r="F9" s="218" t="s">
        <v>636</v>
      </c>
      <c r="G9" s="218" t="s">
        <v>637</v>
      </c>
      <c r="H9" s="184"/>
      <c r="I9" s="184"/>
      <c r="J9" s="192"/>
      <c r="N9" s="215" t="s">
        <v>642</v>
      </c>
      <c r="O9" s="223">
        <f>AP32</f>
        <v>32.778639876919655</v>
      </c>
      <c r="P9" s="224">
        <f>AP49</f>
        <v>30.318994696472892</v>
      </c>
      <c r="T9" s="5" t="s">
        <v>412</v>
      </c>
      <c r="U9" s="225">
        <f>$W$54*$W$42</f>
        <v>7781.2500000000009</v>
      </c>
      <c r="W9" s="5" t="s">
        <v>6</v>
      </c>
      <c r="X9" s="296">
        <f>AE38/AE35</f>
        <v>1.1360469314079424</v>
      </c>
    </row>
    <row r="10" spans="1:25" ht="18" customHeight="1">
      <c r="B10" s="12" t="s">
        <v>420</v>
      </c>
      <c r="C10" s="194">
        <v>70</v>
      </c>
      <c r="D10" s="194">
        <v>40</v>
      </c>
      <c r="E10" s="195">
        <v>100</v>
      </c>
      <c r="F10" s="196">
        <v>70</v>
      </c>
      <c r="G10" s="196">
        <v>60</v>
      </c>
      <c r="H10" s="184"/>
      <c r="I10" s="184"/>
      <c r="J10" s="192"/>
      <c r="T10" s="134" t="s">
        <v>413</v>
      </c>
      <c r="U10" s="225">
        <f>$W$55*$Y$42</f>
        <v>15000</v>
      </c>
    </row>
    <row r="11" spans="1:25" ht="18" customHeight="1">
      <c r="B11" s="12" t="s">
        <v>421</v>
      </c>
      <c r="C11" s="197">
        <v>70</v>
      </c>
      <c r="D11" s="197">
        <v>40</v>
      </c>
      <c r="E11" s="198">
        <v>70</v>
      </c>
      <c r="F11" s="199">
        <v>50</v>
      </c>
      <c r="G11" s="199">
        <v>70</v>
      </c>
      <c r="H11" s="184"/>
      <c r="I11" s="184"/>
      <c r="J11" s="192"/>
      <c r="T11" s="5" t="s">
        <v>414</v>
      </c>
      <c r="U11" s="225">
        <f>$W$56*$AA$42</f>
        <v>4725</v>
      </c>
    </row>
    <row r="12" spans="1:25" ht="18" customHeight="1">
      <c r="B12" s="315" t="s">
        <v>638</v>
      </c>
      <c r="C12" s="316"/>
      <c r="D12" s="316"/>
      <c r="E12" s="317"/>
      <c r="F12" s="318"/>
      <c r="G12" s="318"/>
      <c r="H12" s="184"/>
      <c r="I12" s="184"/>
      <c r="J12" s="192"/>
      <c r="T12" s="5" t="s">
        <v>415</v>
      </c>
      <c r="U12" s="225">
        <f>$W$57*$Z$42</f>
        <v>9416.6666666666661</v>
      </c>
      <c r="W12" s="211" t="s">
        <v>419</v>
      </c>
      <c r="X12" s="25"/>
      <c r="Y12" s="25"/>
    </row>
    <row r="13" spans="1:25" ht="18" customHeight="1">
      <c r="B13" s="213" t="s">
        <v>639</v>
      </c>
      <c r="C13" s="183">
        <f>SUM(C10:C12)</f>
        <v>140</v>
      </c>
      <c r="D13" s="183">
        <f>SUM(D10:D12)</f>
        <v>80</v>
      </c>
      <c r="E13" s="183">
        <f>SUM(E10:E12)</f>
        <v>170</v>
      </c>
      <c r="F13" s="183">
        <f>SUM(F10:F12)</f>
        <v>120</v>
      </c>
      <c r="G13" s="183">
        <f>SUM(G10:G12)</f>
        <v>130</v>
      </c>
      <c r="H13" s="184"/>
      <c r="J13" s="192"/>
      <c r="N13" s="555" t="s">
        <v>704</v>
      </c>
      <c r="O13" s="555"/>
      <c r="T13" s="5" t="s">
        <v>416</v>
      </c>
      <c r="U13" s="225">
        <f>$W$58*$X$42</f>
        <v>6696.4285714285716</v>
      </c>
      <c r="W13" s="5"/>
      <c r="X13" s="5" t="s">
        <v>420</v>
      </c>
      <c r="Y13" s="71" t="s">
        <v>421</v>
      </c>
    </row>
    <row r="14" spans="1:25" ht="18" customHeight="1">
      <c r="B14" s="187"/>
      <c r="C14" s="200"/>
      <c r="D14" s="200"/>
      <c r="E14" s="200"/>
      <c r="F14" s="200"/>
      <c r="G14" s="200"/>
      <c r="H14" s="184"/>
      <c r="J14" s="192"/>
      <c r="N14" s="289" t="s">
        <v>420</v>
      </c>
      <c r="O14" s="289" t="s">
        <v>421</v>
      </c>
      <c r="T14" s="5" t="s">
        <v>417</v>
      </c>
      <c r="U14" s="225">
        <f>$W$59*$W$42</f>
        <v>13228.125000000002</v>
      </c>
      <c r="W14" s="5" t="s">
        <v>2</v>
      </c>
      <c r="X14" s="228">
        <f>$C$31*($U$34+($AC$34-$AB$34)*$U$34)*6*168</f>
        <v>3683231.9999999995</v>
      </c>
      <c r="Y14" s="228">
        <f>$D$31*($U$34+($AC$34-$AB$34)*$U$34)*6*168</f>
        <v>3683231.9999999995</v>
      </c>
    </row>
    <row r="15" spans="1:25" ht="18" customHeight="1" thickBot="1">
      <c r="A15" s="186" t="s">
        <v>479</v>
      </c>
      <c r="C15" s="212" t="s">
        <v>12</v>
      </c>
      <c r="D15" s="212" t="s">
        <v>17</v>
      </c>
      <c r="E15" s="212" t="s">
        <v>18</v>
      </c>
      <c r="F15" s="370" t="s">
        <v>714</v>
      </c>
      <c r="G15" s="212" t="s">
        <v>19</v>
      </c>
      <c r="H15" s="371" t="s">
        <v>20</v>
      </c>
      <c r="J15" s="219" t="s">
        <v>453</v>
      </c>
      <c r="K15" s="294" t="s">
        <v>25</v>
      </c>
      <c r="M15" s="214" t="s">
        <v>472</v>
      </c>
      <c r="N15" s="182">
        <v>5</v>
      </c>
      <c r="O15" s="182">
        <v>6</v>
      </c>
      <c r="W15" s="5" t="s">
        <v>3</v>
      </c>
      <c r="X15" s="228">
        <f>$C$32*($U$35+($AC$35-$AB$35)*$U$35)*6*168</f>
        <v>2987712</v>
      </c>
      <c r="Y15" s="228">
        <f>$D$32*($U$35+($AC$35-$AB$35)*$U$35)*6*168</f>
        <v>2987712</v>
      </c>
    </row>
    <row r="16" spans="1:25" ht="18" customHeight="1" thickBot="1">
      <c r="B16" s="12" t="s">
        <v>631</v>
      </c>
      <c r="C16" s="195">
        <v>35</v>
      </c>
      <c r="D16" s="195">
        <v>31</v>
      </c>
      <c r="E16" s="195">
        <v>36</v>
      </c>
      <c r="F16" s="194">
        <v>34</v>
      </c>
      <c r="G16" s="195">
        <v>36</v>
      </c>
      <c r="H16" s="196">
        <v>34</v>
      </c>
      <c r="I16" s="12" t="s">
        <v>420</v>
      </c>
      <c r="J16" s="191">
        <v>15</v>
      </c>
      <c r="K16" s="204">
        <f>P100</f>
        <v>68.804971406281609</v>
      </c>
      <c r="M16" s="215" t="s">
        <v>473</v>
      </c>
      <c r="N16" s="182">
        <v>0</v>
      </c>
      <c r="O16" s="182">
        <v>0</v>
      </c>
      <c r="U16" t="s">
        <v>59</v>
      </c>
      <c r="W16" s="5" t="s">
        <v>4</v>
      </c>
      <c r="X16" s="228">
        <f>$C$33*($U$36+($AC$36-$AB$36)*$U$36)*6*168</f>
        <v>6398784</v>
      </c>
      <c r="Y16" s="228">
        <f>$D$33*($U$36+($AC$36-$AB$36)*$U$36)*6*168</f>
        <v>4479148.8000000007</v>
      </c>
    </row>
    <row r="17" spans="1:46" s="75" customFormat="1" ht="18" customHeight="1" thickBot="1">
      <c r="B17" s="217" t="s">
        <v>25</v>
      </c>
      <c r="C17" s="202">
        <f>P31</f>
        <v>29.985087072912108</v>
      </c>
      <c r="D17" s="203">
        <f>P39</f>
        <v>26.118733957131209</v>
      </c>
      <c r="E17" s="203">
        <f>P47</f>
        <v>28.15761223155781</v>
      </c>
      <c r="F17" s="368">
        <f>P71</f>
        <v>32.570765289329962</v>
      </c>
      <c r="G17" s="203">
        <f>P55</f>
        <v>30.554969094545964</v>
      </c>
      <c r="H17" s="369">
        <f>P63</f>
        <v>28.400791250685657</v>
      </c>
      <c r="I17" s="217" t="s">
        <v>421</v>
      </c>
      <c r="J17" s="290">
        <v>15</v>
      </c>
      <c r="K17" s="204">
        <f>P109</f>
        <v>67.974743339389789</v>
      </c>
      <c r="M17" s="214" t="s">
        <v>474</v>
      </c>
      <c r="N17" s="182">
        <v>5</v>
      </c>
      <c r="O17" s="182">
        <v>7</v>
      </c>
      <c r="T17" s="75" t="s">
        <v>488</v>
      </c>
      <c r="U17" s="182">
        <v>1</v>
      </c>
      <c r="W17" s="5" t="s">
        <v>5</v>
      </c>
      <c r="X17" s="228">
        <f>$C$34*($U$37+($AC$37-0)*$U$37)*6*168</f>
        <v>3916080.0000000005</v>
      </c>
      <c r="Y17" s="228">
        <f>$D$34*($U$37+($AC$37-0)*$U$37)*6*168</f>
        <v>2797200.0000000005</v>
      </c>
    </row>
    <row r="18" spans="1:46" ht="18" customHeight="1" thickBot="1">
      <c r="C18" s="184"/>
      <c r="D18" s="184"/>
      <c r="E18" s="184"/>
      <c r="F18" s="184"/>
      <c r="G18" s="184"/>
      <c r="H18" s="184"/>
      <c r="I18" s="184"/>
      <c r="J18" s="192"/>
      <c r="M18" s="214" t="s">
        <v>475</v>
      </c>
      <c r="N18" s="182">
        <v>5</v>
      </c>
      <c r="O18" s="182">
        <v>0</v>
      </c>
      <c r="T18" s="75" t="s">
        <v>707</v>
      </c>
      <c r="U18" s="195">
        <v>36</v>
      </c>
      <c r="W18" s="188" t="s">
        <v>6</v>
      </c>
      <c r="X18" s="229">
        <f>$C$35*($U$38+($AC$38-0)*$U$38)*6*168</f>
        <v>3020976</v>
      </c>
      <c r="Y18" s="229">
        <f>$D$35*($U$38+($AC$38-0)*$U$38)*6*168</f>
        <v>3524472</v>
      </c>
    </row>
    <row r="19" spans="1:46" ht="18" customHeight="1" thickBot="1">
      <c r="B19" s="212" t="s">
        <v>640</v>
      </c>
      <c r="D19" s="126" t="s">
        <v>29</v>
      </c>
      <c r="E19" s="112">
        <v>10</v>
      </c>
      <c r="F19" s="12" t="s">
        <v>456</v>
      </c>
      <c r="G19" s="191">
        <v>15</v>
      </c>
      <c r="H19" s="184"/>
      <c r="M19" s="214" t="s">
        <v>476</v>
      </c>
      <c r="N19" s="182">
        <v>5</v>
      </c>
      <c r="O19" s="182">
        <v>7</v>
      </c>
      <c r="T19" s="76" t="s">
        <v>708</v>
      </c>
      <c r="U19" s="298">
        <f>100/(100-$W$87)</f>
        <v>1.8518518518518519</v>
      </c>
      <c r="W19" s="64" t="s">
        <v>22</v>
      </c>
      <c r="X19" s="230">
        <f>X14*C7+D7*X15+X16*E7+F7*X17+X18*G7</f>
        <v>42076026.719999999</v>
      </c>
      <c r="Y19" s="230">
        <f>Y14*C7+D7*Y15+Y16*E7+F7*Y17+Y18*G7</f>
        <v>35891840.880000003</v>
      </c>
    </row>
    <row r="20" spans="1:46" ht="18" customHeight="1" thickBot="1">
      <c r="A20" s="12" t="s">
        <v>59</v>
      </c>
      <c r="B20" s="182">
        <v>23</v>
      </c>
      <c r="D20" s="184" t="s">
        <v>641</v>
      </c>
      <c r="E20" s="205">
        <f>IF(E19&gt;8,0.4,IF(E19&lt;3,0,E19^2/200))</f>
        <v>0.4</v>
      </c>
      <c r="F20" s="12" t="s">
        <v>25</v>
      </c>
      <c r="G20" s="204">
        <f>P79</f>
        <v>34.169847163067516</v>
      </c>
      <c r="I20" s="184"/>
      <c r="J20" s="66" t="s">
        <v>742</v>
      </c>
      <c r="K20" s="192"/>
    </row>
    <row r="21" spans="1:46" ht="18.75" customHeight="1">
      <c r="A21" s="2"/>
      <c r="I21" s="12" t="s">
        <v>420</v>
      </c>
      <c r="J21" s="295">
        <v>6</v>
      </c>
      <c r="K21" s="192"/>
    </row>
    <row r="22" spans="1:46" ht="18" customHeight="1">
      <c r="A22" s="208"/>
      <c r="B22" s="25"/>
      <c r="C22" s="25"/>
      <c r="D22" s="25"/>
      <c r="E22" s="25"/>
      <c r="F22" s="25"/>
      <c r="G22" s="25"/>
      <c r="I22" s="12" t="s">
        <v>421</v>
      </c>
      <c r="J22" s="295">
        <v>6</v>
      </c>
      <c r="K22" s="116"/>
      <c r="L22" s="116"/>
      <c r="M22" s="116"/>
      <c r="N22" s="116"/>
      <c r="O22" s="116"/>
      <c r="P22" s="116"/>
      <c r="Q22" s="25"/>
    </row>
    <row r="23" spans="1:46" ht="18" customHeight="1">
      <c r="A23" s="208"/>
      <c r="B23" s="25"/>
      <c r="C23" s="25"/>
      <c r="D23" s="25"/>
      <c r="E23" s="25"/>
      <c r="H23" s="12"/>
      <c r="I23" s="294"/>
      <c r="J23" s="116"/>
      <c r="K23" s="116"/>
      <c r="L23" s="116"/>
      <c r="M23" s="116"/>
      <c r="N23" s="116"/>
      <c r="O23" s="116"/>
      <c r="P23" s="116"/>
      <c r="Q23" s="25"/>
    </row>
    <row r="24" spans="1:46" ht="18" customHeight="1">
      <c r="A24" s="208"/>
      <c r="B24" s="25"/>
      <c r="C24" s="25"/>
      <c r="D24" s="25"/>
      <c r="E24" s="25"/>
      <c r="H24" s="12"/>
      <c r="I24" s="294"/>
      <c r="J24" s="116"/>
      <c r="K24" s="116"/>
      <c r="L24" s="116"/>
      <c r="M24" s="116"/>
      <c r="N24" s="116"/>
      <c r="O24" s="116"/>
      <c r="P24" s="116"/>
      <c r="Q24" s="25"/>
    </row>
    <row r="25" spans="1:46" ht="17.25" hidden="1" customHeight="1">
      <c r="A25" s="208"/>
      <c r="B25" s="25"/>
      <c r="C25" s="25"/>
      <c r="D25" s="25"/>
      <c r="E25" s="25"/>
      <c r="H25" s="12"/>
      <c r="I25" s="294"/>
      <c r="J25" s="116"/>
      <c r="K25" s="116"/>
      <c r="L25" s="116"/>
      <c r="M25" s="116"/>
      <c r="N25" s="116"/>
      <c r="O25" s="116"/>
      <c r="P25" s="116"/>
      <c r="Q25" s="25"/>
    </row>
    <row r="26" spans="1:46" ht="15.75" hidden="1" thickBot="1">
      <c r="A26" s="25"/>
      <c r="B26" s="25"/>
      <c r="C26" s="25"/>
      <c r="D26" s="25"/>
      <c r="E26" s="25"/>
      <c r="F26" s="25"/>
      <c r="G26" s="25"/>
      <c r="H26" s="25"/>
      <c r="I26" s="25"/>
      <c r="J26" s="116"/>
      <c r="K26" s="116"/>
      <c r="L26" s="116"/>
      <c r="M26" s="116"/>
      <c r="N26" s="116"/>
      <c r="O26" s="116"/>
      <c r="P26" s="116"/>
      <c r="Q26" s="25"/>
    </row>
    <row r="27" spans="1:46" ht="19.5" hidden="1" thickBot="1">
      <c r="A27" s="25"/>
      <c r="B27" s="25"/>
      <c r="C27" s="25"/>
      <c r="D27" s="25"/>
      <c r="E27" s="25"/>
      <c r="F27" s="25"/>
      <c r="G27" s="25"/>
      <c r="H27" s="25"/>
      <c r="I27" s="25"/>
      <c r="J27" s="116"/>
      <c r="K27" s="116"/>
      <c r="L27" s="116"/>
      <c r="M27" s="116"/>
      <c r="N27" s="116"/>
      <c r="O27" s="116"/>
      <c r="P27" s="116"/>
      <c r="Q27" s="25"/>
      <c r="S27" s="117"/>
      <c r="T27" s="129" t="s">
        <v>395</v>
      </c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42"/>
    </row>
    <row r="28" spans="1:46" ht="21" hidden="1">
      <c r="A28" s="117"/>
      <c r="B28" s="118"/>
      <c r="C28" s="118"/>
      <c r="D28" s="118"/>
      <c r="E28" s="118"/>
      <c r="F28" s="118"/>
      <c r="G28" s="118"/>
      <c r="H28" s="118"/>
      <c r="I28" s="118"/>
      <c r="J28" s="119"/>
      <c r="K28" s="119"/>
      <c r="L28" s="119"/>
      <c r="M28" s="119"/>
      <c r="N28" s="119"/>
      <c r="O28" s="119"/>
      <c r="P28" s="119"/>
      <c r="Q28" s="42"/>
      <c r="S28" s="24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6"/>
      <c r="AH28" s="117"/>
      <c r="AI28" s="130" t="s">
        <v>643</v>
      </c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42"/>
    </row>
    <row r="29" spans="1:46" ht="15" hidden="1" customHeight="1">
      <c r="A29" s="120" t="s">
        <v>12</v>
      </c>
      <c r="B29" s="25"/>
      <c r="C29" s="25"/>
      <c r="D29" s="25"/>
      <c r="E29" s="25"/>
      <c r="F29" s="25"/>
      <c r="G29" s="25"/>
      <c r="H29" s="25"/>
      <c r="I29" s="25"/>
      <c r="J29" s="116"/>
      <c r="K29" s="116"/>
      <c r="L29" s="116"/>
      <c r="M29" s="531" t="s">
        <v>22</v>
      </c>
      <c r="N29" s="531"/>
      <c r="O29" s="531"/>
      <c r="P29" s="531"/>
      <c r="Q29" s="26"/>
      <c r="S29" s="24"/>
      <c r="T29" s="25"/>
      <c r="U29" s="5"/>
      <c r="V29" s="5" t="s">
        <v>398</v>
      </c>
      <c r="W29" s="5" t="s">
        <v>399</v>
      </c>
      <c r="X29" s="5" t="s">
        <v>397</v>
      </c>
      <c r="Y29" s="5" t="s">
        <v>400</v>
      </c>
      <c r="Z29" s="5" t="s">
        <v>401</v>
      </c>
      <c r="AA29" s="5" t="s">
        <v>402</v>
      </c>
      <c r="AB29" s="319" t="s">
        <v>397</v>
      </c>
      <c r="AC29" s="25"/>
      <c r="AD29" s="25"/>
      <c r="AE29" s="25"/>
      <c r="AF29" s="26"/>
      <c r="AH29" s="24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6"/>
    </row>
    <row r="30" spans="1:46" ht="45" hidden="1">
      <c r="A30" s="127" t="s">
        <v>1</v>
      </c>
      <c r="B30" s="128" t="s">
        <v>7</v>
      </c>
      <c r="C30" s="3" t="s">
        <v>8</v>
      </c>
      <c r="D30" s="3" t="s">
        <v>9</v>
      </c>
      <c r="E30" s="313" t="s">
        <v>27</v>
      </c>
      <c r="F30" s="3" t="s">
        <v>10</v>
      </c>
      <c r="G30" s="3" t="s">
        <v>11</v>
      </c>
      <c r="H30" s="3" t="s">
        <v>14</v>
      </c>
      <c r="I30" s="3" t="s">
        <v>13</v>
      </c>
      <c r="J30" s="9" t="s">
        <v>15</v>
      </c>
      <c r="K30" s="9" t="s">
        <v>16</v>
      </c>
      <c r="L30" s="116"/>
      <c r="M30" s="9" t="s">
        <v>23</v>
      </c>
      <c r="N30" s="9" t="s">
        <v>24</v>
      </c>
      <c r="O30" s="9" t="s">
        <v>15</v>
      </c>
      <c r="P30" s="9" t="s">
        <v>25</v>
      </c>
      <c r="Q30" s="26"/>
      <c r="S30" s="24"/>
      <c r="T30" s="25"/>
      <c r="U30" s="5" t="s">
        <v>59</v>
      </c>
      <c r="V30" s="6">
        <f>C16</f>
        <v>35</v>
      </c>
      <c r="W30" s="6">
        <f>D16</f>
        <v>31</v>
      </c>
      <c r="X30" s="6">
        <f>E16</f>
        <v>36</v>
      </c>
      <c r="Y30" s="6">
        <f>G16</f>
        <v>36</v>
      </c>
      <c r="Z30" s="6">
        <f>H16</f>
        <v>34</v>
      </c>
      <c r="AA30" s="189">
        <f>G19</f>
        <v>15</v>
      </c>
      <c r="AB30" s="319">
        <f>F16</f>
        <v>34</v>
      </c>
      <c r="AC30" s="25"/>
      <c r="AD30" s="25"/>
      <c r="AE30" s="25"/>
      <c r="AF30" s="26"/>
      <c r="AH30" s="24"/>
      <c r="AI30" s="5"/>
      <c r="AJ30" s="113" t="s">
        <v>458</v>
      </c>
      <c r="AK30" s="113" t="s">
        <v>460</v>
      </c>
      <c r="AL30" s="113" t="s">
        <v>461</v>
      </c>
      <c r="AM30" s="113" t="s">
        <v>459</v>
      </c>
      <c r="AN30" s="113" t="s">
        <v>462</v>
      </c>
      <c r="AO30" s="113" t="s">
        <v>466</v>
      </c>
      <c r="AP30" s="113" t="s">
        <v>465</v>
      </c>
      <c r="AQ30" s="25"/>
      <c r="AR30" s="25"/>
      <c r="AS30" s="25"/>
      <c r="AT30" s="26"/>
    </row>
    <row r="31" spans="1:46" hidden="1">
      <c r="A31" s="24" t="s">
        <v>2</v>
      </c>
      <c r="B31" s="25">
        <v>10</v>
      </c>
      <c r="C31" s="6">
        <f>$C$10</f>
        <v>70</v>
      </c>
      <c r="D31" s="6">
        <f>$C$11</f>
        <v>70</v>
      </c>
      <c r="E31" s="314">
        <f>$C$12</f>
        <v>0</v>
      </c>
      <c r="F31" s="5">
        <f>C31+D31+E31</f>
        <v>140</v>
      </c>
      <c r="G31" s="5">
        <v>7.0000000000000007E-2</v>
      </c>
      <c r="H31" s="5">
        <f>B31*F31*G31</f>
        <v>98.000000000000014</v>
      </c>
      <c r="I31" s="189">
        <f>B120*1.33^($C$16)/(1.6^($B$20/2))</f>
        <v>73831.420730220969</v>
      </c>
      <c r="J31" s="10">
        <f>I31/H31</f>
        <v>753.38184418592812</v>
      </c>
      <c r="K31" s="10">
        <f>J31*10/60/24</f>
        <v>5.2318183624022785</v>
      </c>
      <c r="L31" s="116"/>
      <c r="M31" s="532">
        <f>I31*$C$7+$D$7*I32+$E$7*I33+$F$7*I34+$G$7*I35</f>
        <v>1053642.3764446101</v>
      </c>
      <c r="N31" s="529">
        <f>$C$7*H31+$D$7*H32+$E$7*H33+$F$7*H34+$G$7*H35</f>
        <v>244.02000000000007</v>
      </c>
      <c r="O31" s="529">
        <f>M31/N31</f>
        <v>4317.8525384993436</v>
      </c>
      <c r="P31" s="530">
        <f>O31*10/60/24</f>
        <v>29.985087072912108</v>
      </c>
      <c r="Q31" s="26"/>
      <c r="S31" s="24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6"/>
      <c r="AH31" s="24"/>
      <c r="AI31" s="5"/>
      <c r="AJ31" s="113"/>
      <c r="AK31" s="113"/>
      <c r="AL31" s="113"/>
      <c r="AM31" s="113"/>
      <c r="AN31" s="113"/>
      <c r="AO31" s="113"/>
      <c r="AP31" s="113"/>
      <c r="AQ31" s="25"/>
      <c r="AR31" s="25"/>
      <c r="AS31" s="25"/>
      <c r="AT31" s="26"/>
    </row>
    <row r="32" spans="1:46" hidden="1">
      <c r="A32" s="24" t="s">
        <v>3</v>
      </c>
      <c r="B32" s="25">
        <v>15</v>
      </c>
      <c r="C32" s="6">
        <f>$D$10</f>
        <v>40</v>
      </c>
      <c r="D32" s="6">
        <f>$D$11</f>
        <v>40</v>
      </c>
      <c r="E32" s="314">
        <f>$D$12</f>
        <v>0</v>
      </c>
      <c r="F32" s="5">
        <f>C32+D32+E32</f>
        <v>80</v>
      </c>
      <c r="G32" s="5"/>
      <c r="H32" s="5">
        <f>B32*F32*G32</f>
        <v>0</v>
      </c>
      <c r="I32" s="189">
        <f>C120*1.33^($C$16)/(1.6^($B$20/2))</f>
        <v>47601.83704974773</v>
      </c>
      <c r="J32" s="10" t="e">
        <f>I32/H32</f>
        <v>#DIV/0!</v>
      </c>
      <c r="K32" s="10" t="e">
        <f>J32*10/60/24</f>
        <v>#DIV/0!</v>
      </c>
      <c r="L32" s="116"/>
      <c r="M32" s="532"/>
      <c r="N32" s="529"/>
      <c r="O32" s="529"/>
      <c r="P32" s="530"/>
      <c r="Q32" s="26"/>
      <c r="S32" s="24"/>
      <c r="T32" s="5"/>
      <c r="U32" s="5"/>
      <c r="V32" s="206" t="s">
        <v>11</v>
      </c>
      <c r="W32" s="72"/>
      <c r="X32" s="72"/>
      <c r="Y32" s="72"/>
      <c r="Z32" s="72"/>
      <c r="AA32" s="207"/>
      <c r="AB32" s="183"/>
      <c r="AC32" s="5"/>
      <c r="AD32" s="534" t="s">
        <v>404</v>
      </c>
      <c r="AE32" s="5"/>
      <c r="AF32" s="26"/>
      <c r="AH32" s="24"/>
      <c r="AI32" s="5" t="s">
        <v>2</v>
      </c>
      <c r="AJ32" s="189">
        <f>B129*1.33^($O$7)/(1.6^($B$20/2))</f>
        <v>18475.414140306992</v>
      </c>
      <c r="AK32" s="548">
        <f>220/(O7+17)</f>
        <v>4.8888888888888893</v>
      </c>
      <c r="AL32" s="548">
        <f>220/((O7+1)+17)</f>
        <v>4.7826086956521738</v>
      </c>
      <c r="AM32" s="545">
        <f>(AK32-AL32)/AK32</f>
        <v>2.1739130434782702E-2</v>
      </c>
      <c r="AN32" s="553">
        <f>O8</f>
        <v>300000</v>
      </c>
      <c r="AO32" s="542">
        <f>AM32*AN32</f>
        <v>6521.7391304348102</v>
      </c>
      <c r="AP32" s="539">
        <f>AJ37/AO32</f>
        <v>32.778639876919655</v>
      </c>
      <c r="AQ32" s="25"/>
      <c r="AR32" s="25"/>
      <c r="AS32" s="25"/>
      <c r="AT32" s="26"/>
    </row>
    <row r="33" spans="1:46" hidden="1">
      <c r="A33" s="24" t="s">
        <v>4</v>
      </c>
      <c r="B33" s="25">
        <v>12</v>
      </c>
      <c r="C33" s="6">
        <f>$E$10</f>
        <v>100</v>
      </c>
      <c r="D33" s="6">
        <f>$E$11</f>
        <v>70</v>
      </c>
      <c r="E33" s="314">
        <f>$E$12</f>
        <v>0</v>
      </c>
      <c r="F33" s="5">
        <f>C33+D33+E33</f>
        <v>170</v>
      </c>
      <c r="G33" s="5"/>
      <c r="H33" s="5">
        <f>B33*F33*G33</f>
        <v>0</v>
      </c>
      <c r="I33" s="189">
        <f>D120*1.33^($C$16)/(1.6^($B$20/2))</f>
        <v>112690.06321981095</v>
      </c>
      <c r="J33" s="10" t="e">
        <f>I33/H33</f>
        <v>#DIV/0!</v>
      </c>
      <c r="K33" s="10" t="e">
        <f>J33*10/60/24</f>
        <v>#DIV/0!</v>
      </c>
      <c r="L33" s="116"/>
      <c r="M33" s="532"/>
      <c r="N33" s="529"/>
      <c r="O33" s="529"/>
      <c r="P33" s="530"/>
      <c r="Q33" s="26"/>
      <c r="S33" s="24"/>
      <c r="T33" s="132" t="s">
        <v>396</v>
      </c>
      <c r="U33" s="132" t="s">
        <v>7</v>
      </c>
      <c r="V33" s="132" t="s">
        <v>398</v>
      </c>
      <c r="W33" s="132" t="s">
        <v>399</v>
      </c>
      <c r="X33" s="132" t="s">
        <v>397</v>
      </c>
      <c r="Y33" s="132" t="s">
        <v>400</v>
      </c>
      <c r="Z33" s="132" t="s">
        <v>401</v>
      </c>
      <c r="AA33" s="132" t="s">
        <v>402</v>
      </c>
      <c r="AB33" s="132" t="s">
        <v>405</v>
      </c>
      <c r="AC33" s="132" t="s">
        <v>403</v>
      </c>
      <c r="AD33" s="535"/>
      <c r="AE33" s="132" t="s">
        <v>22</v>
      </c>
      <c r="AF33" s="26"/>
      <c r="AH33" s="24"/>
      <c r="AI33" s="5" t="s">
        <v>3</v>
      </c>
      <c r="AJ33" s="189">
        <f>C129*1.33^($O$7)/(1.6^($B$20/2))</f>
        <v>19795.086578900344</v>
      </c>
      <c r="AK33" s="549"/>
      <c r="AL33" s="549"/>
      <c r="AM33" s="546"/>
      <c r="AN33" s="554"/>
      <c r="AO33" s="543"/>
      <c r="AP33" s="540"/>
      <c r="AQ33" s="25"/>
      <c r="AR33" s="25"/>
      <c r="AS33" s="25"/>
      <c r="AT33" s="26"/>
    </row>
    <row r="34" spans="1:46" hidden="1">
      <c r="A34" s="24" t="s">
        <v>5</v>
      </c>
      <c r="B34" s="25">
        <v>10</v>
      </c>
      <c r="C34" s="6">
        <f>$F$10</f>
        <v>70</v>
      </c>
      <c r="D34" s="6">
        <f>$F$11</f>
        <v>50</v>
      </c>
      <c r="E34" s="314">
        <f>$F$12</f>
        <v>0</v>
      </c>
      <c r="F34" s="5">
        <f>C34+D34+E34</f>
        <v>120</v>
      </c>
      <c r="G34" s="5"/>
      <c r="H34" s="5">
        <f>B34*F34*G34</f>
        <v>0</v>
      </c>
      <c r="I34" s="189">
        <f>E120*1.33^($C$16)/(1.6^($B$20/2))</f>
        <v>205950.80519482694</v>
      </c>
      <c r="J34" s="10" t="e">
        <f>I34/H34</f>
        <v>#DIV/0!</v>
      </c>
      <c r="K34" s="10" t="e">
        <f>J34*10/60/24</f>
        <v>#DIV/0!</v>
      </c>
      <c r="L34" s="116"/>
      <c r="M34" s="532"/>
      <c r="N34" s="529"/>
      <c r="O34" s="529"/>
      <c r="P34" s="530"/>
      <c r="Q34" s="26"/>
      <c r="S34" s="24"/>
      <c r="T34" s="5" t="s">
        <v>2</v>
      </c>
      <c r="U34" s="5">
        <v>10</v>
      </c>
      <c r="V34" s="136">
        <f>V30*0.07</f>
        <v>2.4500000000000002</v>
      </c>
      <c r="W34" s="136"/>
      <c r="X34" s="136"/>
      <c r="Y34" s="136">
        <f>Y30*0.02</f>
        <v>0.72</v>
      </c>
      <c r="Z34" s="136"/>
      <c r="AA34" s="136">
        <f>AA30*0.07</f>
        <v>1.05</v>
      </c>
      <c r="AB34" s="136">
        <v>0.4</v>
      </c>
      <c r="AC34" s="137">
        <f>V34+W34+X34+Y34+Z34+AA34+AB34</f>
        <v>4.62</v>
      </c>
      <c r="AD34" s="10">
        <f>U34+(U34*AC34)</f>
        <v>56.2</v>
      </c>
      <c r="AE34" s="138">
        <f>AD34*C7</f>
        <v>139.93800000000002</v>
      </c>
      <c r="AF34" s="26"/>
      <c r="AH34" s="24"/>
      <c r="AI34" s="5" t="s">
        <v>4</v>
      </c>
      <c r="AJ34" s="189">
        <f>D129*1.33^($O$7)/(1.6^($B$20/2))</f>
        <v>29032.793649053838</v>
      </c>
      <c r="AK34" s="549"/>
      <c r="AL34" s="549"/>
      <c r="AM34" s="546"/>
      <c r="AN34" s="220" t="s">
        <v>463</v>
      </c>
      <c r="AO34" s="543"/>
      <c r="AP34" s="540"/>
      <c r="AQ34" s="25"/>
      <c r="AR34" s="25"/>
      <c r="AS34" s="25"/>
      <c r="AT34" s="26"/>
    </row>
    <row r="35" spans="1:46" hidden="1">
      <c r="A35" s="24" t="s">
        <v>6</v>
      </c>
      <c r="B35" s="25">
        <v>9</v>
      </c>
      <c r="C35" s="6">
        <f>$G$10</f>
        <v>60</v>
      </c>
      <c r="D35" s="6">
        <f>$G$11</f>
        <v>70</v>
      </c>
      <c r="E35" s="314">
        <f>$G$12</f>
        <v>0</v>
      </c>
      <c r="F35" s="5">
        <f>C35+D35+E35</f>
        <v>130</v>
      </c>
      <c r="G35" s="5"/>
      <c r="H35" s="5">
        <f>B35*F35*G35</f>
        <v>0</v>
      </c>
      <c r="I35" s="189">
        <f>F120*1.33^($C$16)/(1.6^($B$20/2))</f>
        <v>45658.904925268231</v>
      </c>
      <c r="J35" s="10" t="e">
        <f>I35/H35</f>
        <v>#DIV/0!</v>
      </c>
      <c r="K35" s="10" t="e">
        <f>J35*10/60/24</f>
        <v>#DIV/0!</v>
      </c>
      <c r="L35" s="116"/>
      <c r="M35" s="532"/>
      <c r="N35" s="529"/>
      <c r="O35" s="529"/>
      <c r="P35" s="530"/>
      <c r="Q35" s="26"/>
      <c r="S35" s="24"/>
      <c r="T35" s="5" t="s">
        <v>3</v>
      </c>
      <c r="U35" s="5">
        <v>15</v>
      </c>
      <c r="V35" s="136"/>
      <c r="W35" s="136">
        <f>W30*0.07</f>
        <v>2.1700000000000004</v>
      </c>
      <c r="X35" s="136"/>
      <c r="Y35" s="136">
        <f>Y30*0.02</f>
        <v>0.72</v>
      </c>
      <c r="Z35" s="136"/>
      <c r="AA35" s="136">
        <f>AA30*0.07</f>
        <v>1.05</v>
      </c>
      <c r="AB35" s="136">
        <v>0.6</v>
      </c>
      <c r="AC35" s="137">
        <f>V35+W35+X35+Y35+Z35+AA35+AB35</f>
        <v>4.54</v>
      </c>
      <c r="AD35" s="10">
        <f>U35+(U35*AC35)</f>
        <v>83.1</v>
      </c>
      <c r="AE35" s="138">
        <f>AD35*D7</f>
        <v>83.1</v>
      </c>
      <c r="AF35" s="26"/>
      <c r="AH35" s="24"/>
      <c r="AI35" s="5" t="s">
        <v>5</v>
      </c>
      <c r="AJ35" s="189">
        <f>E129*1.33^($O$7)/(1.6^($B$20/2))</f>
        <v>2639.3448771867129</v>
      </c>
      <c r="AK35" s="549"/>
      <c r="AL35" s="549"/>
      <c r="AM35" s="546"/>
      <c r="AN35" s="6" t="s">
        <v>464</v>
      </c>
      <c r="AO35" s="543"/>
      <c r="AP35" s="540"/>
      <c r="AQ35" s="25"/>
      <c r="AR35" s="25"/>
      <c r="AS35" s="25"/>
      <c r="AT35" s="26"/>
    </row>
    <row r="36" spans="1:46" hidden="1">
      <c r="A36" s="24"/>
      <c r="B36" s="25"/>
      <c r="C36" s="25"/>
      <c r="D36" s="25"/>
      <c r="E36" s="238"/>
      <c r="F36" s="25"/>
      <c r="G36" s="25"/>
      <c r="H36" s="25"/>
      <c r="I36" s="25"/>
      <c r="J36" s="116"/>
      <c r="K36" s="116"/>
      <c r="L36" s="116"/>
      <c r="M36" s="116"/>
      <c r="N36" s="116"/>
      <c r="O36" s="116"/>
      <c r="P36" s="116"/>
      <c r="Q36" s="26"/>
      <c r="S36" s="24"/>
      <c r="T36" s="5" t="s">
        <v>4</v>
      </c>
      <c r="U36" s="5">
        <v>12</v>
      </c>
      <c r="V36" s="136"/>
      <c r="W36" s="136"/>
      <c r="X36" s="136">
        <f>X30*0.07</f>
        <v>2.5200000000000005</v>
      </c>
      <c r="Y36" s="136">
        <f>Y30*0.02</f>
        <v>0.72</v>
      </c>
      <c r="Z36" s="136"/>
      <c r="AA36" s="136">
        <f>AA30*0.07</f>
        <v>1.05</v>
      </c>
      <c r="AB36" s="136">
        <v>0.4</v>
      </c>
      <c r="AC36" s="137">
        <f>V36+W36+X36+Y36+Z36+AA36+AB36</f>
        <v>4.6900000000000004</v>
      </c>
      <c r="AD36" s="10">
        <f>U36+(U36*AC36)</f>
        <v>68.28</v>
      </c>
      <c r="AE36" s="138">
        <f>AD36*E7</f>
        <v>163.87199999999999</v>
      </c>
      <c r="AF36" s="26"/>
      <c r="AH36" s="24"/>
      <c r="AI36" s="5" t="s">
        <v>6</v>
      </c>
      <c r="AJ36" s="189">
        <f>F129*1.33^($O$7)/(1.6^($B$20/2))</f>
        <v>38270.500719207339</v>
      </c>
      <c r="AK36" s="550"/>
      <c r="AL36" s="550"/>
      <c r="AM36" s="547"/>
      <c r="AN36" s="221">
        <f>P8</f>
        <v>300000</v>
      </c>
      <c r="AO36" s="544"/>
      <c r="AP36" s="541"/>
      <c r="AQ36" s="25"/>
      <c r="AR36" s="25"/>
      <c r="AS36" s="25"/>
      <c r="AT36" s="26"/>
    </row>
    <row r="37" spans="1:46" hidden="1">
      <c r="A37" s="120" t="s">
        <v>17</v>
      </c>
      <c r="B37" s="25"/>
      <c r="C37" s="25"/>
      <c r="D37" s="25"/>
      <c r="E37" s="238"/>
      <c r="F37" s="25"/>
      <c r="G37" s="25"/>
      <c r="H37" s="25"/>
      <c r="I37" s="25"/>
      <c r="J37" s="116"/>
      <c r="K37" s="116"/>
      <c r="L37" s="116"/>
      <c r="M37" s="531" t="s">
        <v>22</v>
      </c>
      <c r="N37" s="531"/>
      <c r="O37" s="531"/>
      <c r="P37" s="531"/>
      <c r="Q37" s="26"/>
      <c r="S37" s="24"/>
      <c r="T37" s="5" t="s">
        <v>5</v>
      </c>
      <c r="U37" s="5">
        <v>10</v>
      </c>
      <c r="V37" s="136"/>
      <c r="W37" s="136"/>
      <c r="X37" s="136"/>
      <c r="Y37" s="136">
        <f>Y30*0.02</f>
        <v>0.72</v>
      </c>
      <c r="Z37" s="136">
        <f>Z30*0.07</f>
        <v>2.3800000000000003</v>
      </c>
      <c r="AA37" s="136">
        <f>AA30*0.07</f>
        <v>1.05</v>
      </c>
      <c r="AB37" s="136">
        <v>0.4</v>
      </c>
      <c r="AC37" s="137">
        <f>V37+W37+X37+Y37+Z37+AA37+AB37</f>
        <v>4.5500000000000007</v>
      </c>
      <c r="AD37" s="10">
        <f>U37+(U37*AC37)</f>
        <v>55.500000000000007</v>
      </c>
      <c r="AE37" s="138">
        <f>AD37*F7</f>
        <v>125.43</v>
      </c>
      <c r="AF37" s="26"/>
      <c r="AH37" s="24"/>
      <c r="AI37" s="5" t="s">
        <v>22</v>
      </c>
      <c r="AJ37" s="114">
        <f>AJ32*C7+AJ33*D7+E7*AJ34+AJ35*F7+G7*AJ36</f>
        <v>213773.73832773778</v>
      </c>
      <c r="AK37" s="25"/>
      <c r="AL37" s="25"/>
      <c r="AM37" s="25"/>
      <c r="AN37" s="25"/>
      <c r="AO37" s="25"/>
      <c r="AP37" s="25"/>
      <c r="AQ37" s="25"/>
      <c r="AR37" s="25"/>
      <c r="AS37" s="25"/>
      <c r="AT37" s="26"/>
    </row>
    <row r="38" spans="1:46" hidden="1">
      <c r="A38" s="127" t="s">
        <v>1</v>
      </c>
      <c r="B38" s="128" t="s">
        <v>7</v>
      </c>
      <c r="C38" s="3" t="s">
        <v>8</v>
      </c>
      <c r="D38" s="3" t="s">
        <v>9</v>
      </c>
      <c r="E38" s="313" t="s">
        <v>27</v>
      </c>
      <c r="F38" s="3" t="s">
        <v>10</v>
      </c>
      <c r="G38" s="3" t="s">
        <v>11</v>
      </c>
      <c r="H38" s="3" t="s">
        <v>14</v>
      </c>
      <c r="I38" s="3" t="s">
        <v>13</v>
      </c>
      <c r="J38" s="9" t="s">
        <v>15</v>
      </c>
      <c r="K38" s="9" t="s">
        <v>16</v>
      </c>
      <c r="L38" s="116"/>
      <c r="M38" s="9" t="s">
        <v>23</v>
      </c>
      <c r="N38" s="9" t="s">
        <v>24</v>
      </c>
      <c r="O38" s="9" t="s">
        <v>15</v>
      </c>
      <c r="P38" s="9" t="s">
        <v>25</v>
      </c>
      <c r="Q38" s="26"/>
      <c r="S38" s="24"/>
      <c r="T38" s="5" t="s">
        <v>6</v>
      </c>
      <c r="U38" s="5">
        <v>9</v>
      </c>
      <c r="V38" s="136"/>
      <c r="W38" s="136"/>
      <c r="X38" s="136"/>
      <c r="Y38" s="136">
        <f>Y30*0.02</f>
        <v>0.72</v>
      </c>
      <c r="Z38" s="136">
        <f>AB30*0.07</f>
        <v>2.3800000000000003</v>
      </c>
      <c r="AA38" s="136">
        <f>AA30*0.07</f>
        <v>1.05</v>
      </c>
      <c r="AB38" s="136">
        <v>0.4</v>
      </c>
      <c r="AC38" s="137">
        <f>V38+W38+X38+Y38+Z38+AA38+AB38</f>
        <v>4.5500000000000007</v>
      </c>
      <c r="AD38" s="10">
        <f>U38+(U38*AC38)</f>
        <v>49.95</v>
      </c>
      <c r="AE38" s="138">
        <f>AD38*G7</f>
        <v>94.405500000000004</v>
      </c>
      <c r="AF38" s="26"/>
      <c r="AH38" s="24"/>
      <c r="AK38" s="25"/>
      <c r="AL38" s="25"/>
      <c r="AM38" s="25"/>
      <c r="AN38" s="25"/>
      <c r="AO38" s="25"/>
      <c r="AP38" s="25"/>
      <c r="AQ38" s="25"/>
      <c r="AR38" s="25"/>
      <c r="AS38" s="25"/>
      <c r="AT38" s="26"/>
    </row>
    <row r="39" spans="1:46" hidden="1">
      <c r="A39" s="24" t="s">
        <v>2</v>
      </c>
      <c r="B39" s="25">
        <v>10</v>
      </c>
      <c r="C39" s="6">
        <f>$C$10</f>
        <v>70</v>
      </c>
      <c r="D39" s="6">
        <f>$C$11</f>
        <v>70</v>
      </c>
      <c r="E39" s="314">
        <f>$C$12</f>
        <v>0</v>
      </c>
      <c r="F39" s="5">
        <f>C39+D39+E39</f>
        <v>140</v>
      </c>
      <c r="G39" s="5"/>
      <c r="H39" s="5">
        <f>B39*F39*G39</f>
        <v>0</v>
      </c>
      <c r="I39" s="189">
        <f>B121*1.33^($D$16)/(1.6^($B$20/2))</f>
        <v>32288.986151915564</v>
      </c>
      <c r="J39" s="10" t="e">
        <f>I39/H39</f>
        <v>#DIV/0!</v>
      </c>
      <c r="K39" s="10" t="e">
        <f>J39*10/60/24</f>
        <v>#DIV/0!</v>
      </c>
      <c r="L39" s="116"/>
      <c r="M39" s="532">
        <f>I39*$C$7+$D$7*I40+$E$7*I41+$F$7*I42+$G$7*I43</f>
        <v>315932.20594545919</v>
      </c>
      <c r="N39" s="529">
        <f>$C$7*H39+$D$7*H40+$E$7*H41+$F$7*H42+$G$7*H43</f>
        <v>84.000000000000014</v>
      </c>
      <c r="O39" s="529">
        <f>M39/N39</f>
        <v>3761.0976898268946</v>
      </c>
      <c r="P39" s="533">
        <f>O39*10/60/24</f>
        <v>26.118733957131209</v>
      </c>
      <c r="Q39" s="26"/>
      <c r="S39" s="24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6"/>
      <c r="AH39" s="24"/>
      <c r="AI39" s="76"/>
      <c r="AJ39" s="76"/>
      <c r="AK39" s="25"/>
      <c r="AL39" s="25"/>
      <c r="AM39" s="25"/>
      <c r="AN39" s="25"/>
      <c r="AO39" s="25"/>
      <c r="AP39" s="25"/>
      <c r="AQ39" s="25"/>
      <c r="AR39" s="25"/>
      <c r="AS39" s="25"/>
      <c r="AT39" s="26"/>
    </row>
    <row r="40" spans="1:46" hidden="1">
      <c r="A40" s="24" t="s">
        <v>3</v>
      </c>
      <c r="B40" s="25">
        <v>15</v>
      </c>
      <c r="C40" s="6">
        <f>$D$10</f>
        <v>40</v>
      </c>
      <c r="D40" s="6">
        <f>$D$11</f>
        <v>40</v>
      </c>
      <c r="E40" s="314">
        <f>$D$12</f>
        <v>0</v>
      </c>
      <c r="F40" s="5">
        <f>C40+D40+E40</f>
        <v>80</v>
      </c>
      <c r="G40" s="5">
        <v>7.0000000000000007E-2</v>
      </c>
      <c r="H40" s="5">
        <f>B40*F40*G40</f>
        <v>84.000000000000014</v>
      </c>
      <c r="I40" s="189">
        <f>C121*1.33^($D$16)/(1.6^($B$20/2))</f>
        <v>29184.275945000609</v>
      </c>
      <c r="J40" s="10">
        <f>I40/H40</f>
        <v>347.43185648810243</v>
      </c>
      <c r="K40" s="10">
        <f>J40*10/60/24</f>
        <v>2.4127212256118225</v>
      </c>
      <c r="L40" s="116"/>
      <c r="M40" s="532"/>
      <c r="N40" s="529"/>
      <c r="O40" s="529"/>
      <c r="P40" s="533"/>
      <c r="Q40" s="26"/>
      <c r="S40" s="24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6"/>
      <c r="AH40" s="24"/>
      <c r="AI40" s="76"/>
      <c r="AJ40" s="76"/>
      <c r="AK40" s="25"/>
      <c r="AL40" s="25"/>
      <c r="AM40" s="25"/>
      <c r="AN40" s="25"/>
      <c r="AO40" s="25"/>
      <c r="AP40" s="25"/>
      <c r="AQ40" s="25"/>
      <c r="AR40" s="25"/>
      <c r="AS40" s="25"/>
      <c r="AT40" s="26"/>
    </row>
    <row r="41" spans="1:46" hidden="1">
      <c r="A41" s="24" t="s">
        <v>4</v>
      </c>
      <c r="B41" s="25">
        <v>12</v>
      </c>
      <c r="C41" s="6">
        <f>$E$10</f>
        <v>100</v>
      </c>
      <c r="D41" s="6">
        <f>$E$11</f>
        <v>70</v>
      </c>
      <c r="E41" s="314">
        <f>$E$12</f>
        <v>0</v>
      </c>
      <c r="F41" s="5">
        <f>C41+D41+E41</f>
        <v>170</v>
      </c>
      <c r="G41" s="5"/>
      <c r="H41" s="5">
        <f>B41*F41*G41</f>
        <v>0</v>
      </c>
      <c r="I41" s="189">
        <f>D121*1.33^($D$16)/(1.6^($B$20/2))</f>
        <v>25148.152676011159</v>
      </c>
      <c r="J41" s="10" t="e">
        <f>I41/H41</f>
        <v>#DIV/0!</v>
      </c>
      <c r="K41" s="10" t="e">
        <f>J41*10/60/24</f>
        <v>#DIV/0!</v>
      </c>
      <c r="L41" s="116"/>
      <c r="M41" s="532"/>
      <c r="N41" s="529"/>
      <c r="O41" s="529"/>
      <c r="P41" s="533"/>
      <c r="Q41" s="26"/>
      <c r="S41" s="24"/>
      <c r="T41" s="25"/>
      <c r="U41" s="25"/>
      <c r="V41" s="25"/>
      <c r="W41" s="5" t="s">
        <v>2</v>
      </c>
      <c r="X41" s="5" t="s">
        <v>3</v>
      </c>
      <c r="Y41" s="5" t="s">
        <v>4</v>
      </c>
      <c r="Z41" s="5" t="s">
        <v>5</v>
      </c>
      <c r="AA41" s="5" t="s">
        <v>6</v>
      </c>
      <c r="AB41" s="25"/>
      <c r="AC41" s="25"/>
      <c r="AD41" s="25"/>
      <c r="AE41" s="25"/>
      <c r="AF41" s="26"/>
      <c r="AH41" s="24"/>
      <c r="AI41" s="76"/>
      <c r="AJ41" s="76"/>
      <c r="AK41" s="25"/>
      <c r="AL41" s="25"/>
      <c r="AM41" s="25"/>
      <c r="AN41" s="25"/>
      <c r="AO41" s="25"/>
      <c r="AP41" s="25"/>
      <c r="AQ41" s="25"/>
      <c r="AR41" s="25"/>
      <c r="AS41" s="25"/>
      <c r="AT41" s="26"/>
    </row>
    <row r="42" spans="1:46" hidden="1">
      <c r="A42" s="24" t="s">
        <v>5</v>
      </c>
      <c r="B42" s="25">
        <v>10</v>
      </c>
      <c r="C42" s="6">
        <f>$F$10</f>
        <v>70</v>
      </c>
      <c r="D42" s="6">
        <f>$F$11</f>
        <v>50</v>
      </c>
      <c r="E42" s="314">
        <f>$F$12</f>
        <v>0</v>
      </c>
      <c r="F42" s="5">
        <f>C42+D42+E42</f>
        <v>120</v>
      </c>
      <c r="G42" s="5"/>
      <c r="H42" s="5">
        <f>B42*F42*G42</f>
        <v>0</v>
      </c>
      <c r="I42" s="189">
        <f>E121*1.33^($D$16)/(1.6^($B$20/2))</f>
        <v>44086.884938192401</v>
      </c>
      <c r="J42" s="10" t="e">
        <f>I42/H42</f>
        <v>#DIV/0!</v>
      </c>
      <c r="K42" s="10" t="e">
        <f>J42*10/60/24</f>
        <v>#DIV/0!</v>
      </c>
      <c r="L42" s="116"/>
      <c r="M42" s="532"/>
      <c r="N42" s="529"/>
      <c r="O42" s="529"/>
      <c r="P42" s="533"/>
      <c r="Q42" s="26"/>
      <c r="S42" s="24"/>
      <c r="T42" s="25" t="s">
        <v>21</v>
      </c>
      <c r="U42" s="25"/>
      <c r="V42" s="25"/>
      <c r="W42" s="6">
        <f>C7</f>
        <v>2.4900000000000002</v>
      </c>
      <c r="X42" s="6">
        <v>1</v>
      </c>
      <c r="Y42" s="6">
        <f>E7</f>
        <v>2.4</v>
      </c>
      <c r="Z42" s="6">
        <f>F7</f>
        <v>2.2599999999999998</v>
      </c>
      <c r="AA42" s="6">
        <f>G7</f>
        <v>1.89</v>
      </c>
      <c r="AB42" s="25"/>
      <c r="AC42" s="25"/>
      <c r="AD42" s="25"/>
      <c r="AE42" s="25"/>
      <c r="AF42" s="26"/>
      <c r="AH42" s="24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</row>
    <row r="43" spans="1:46" ht="15.75" hidden="1" thickBot="1">
      <c r="A43" s="24" t="s">
        <v>6</v>
      </c>
      <c r="B43" s="25">
        <v>9</v>
      </c>
      <c r="C43" s="6">
        <f>$G$10</f>
        <v>60</v>
      </c>
      <c r="D43" s="6">
        <f>$G$11</f>
        <v>70</v>
      </c>
      <c r="E43" s="314">
        <f>$G$12</f>
        <v>0</v>
      </c>
      <c r="F43" s="5">
        <f>C43+D43+E43</f>
        <v>130</v>
      </c>
      <c r="G43" s="5"/>
      <c r="H43" s="5">
        <f>B43*F43*G43</f>
        <v>0</v>
      </c>
      <c r="I43" s="189">
        <f>F121*1.33^($D$16)/(1.6^($B$20/2))</f>
        <v>24527.210634628169</v>
      </c>
      <c r="J43" s="10" t="e">
        <f>I43/H43</f>
        <v>#DIV/0!</v>
      </c>
      <c r="K43" s="10" t="e">
        <f>J43*10/60/24</f>
        <v>#DIV/0!</v>
      </c>
      <c r="L43" s="116"/>
      <c r="M43" s="532"/>
      <c r="N43" s="529"/>
      <c r="O43" s="529"/>
      <c r="P43" s="533"/>
      <c r="Q43" s="26"/>
      <c r="S43" s="124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54"/>
      <c r="AH43" s="24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6"/>
    </row>
    <row r="44" spans="1:46" ht="15.75" hidden="1" thickBot="1">
      <c r="A44" s="24"/>
      <c r="B44" s="25"/>
      <c r="C44" s="25"/>
      <c r="D44" s="25"/>
      <c r="E44" s="238"/>
      <c r="F44" s="25"/>
      <c r="G44" s="25"/>
      <c r="H44" s="25"/>
      <c r="I44" s="25"/>
      <c r="J44" s="116"/>
      <c r="K44" s="116"/>
      <c r="L44" s="116"/>
      <c r="M44" s="116"/>
      <c r="N44" s="116"/>
      <c r="O44" s="116"/>
      <c r="P44" s="116"/>
      <c r="Q44" s="26"/>
      <c r="AH44" s="24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6"/>
    </row>
    <row r="45" spans="1:46" ht="21" hidden="1">
      <c r="A45" s="120" t="s">
        <v>18</v>
      </c>
      <c r="B45" s="25"/>
      <c r="C45" s="25"/>
      <c r="D45" s="25"/>
      <c r="E45" s="238"/>
      <c r="F45" s="25"/>
      <c r="G45" s="25"/>
      <c r="H45" s="25"/>
      <c r="I45" s="25"/>
      <c r="J45" s="116"/>
      <c r="K45" s="116"/>
      <c r="L45" s="116"/>
      <c r="M45" s="531" t="s">
        <v>22</v>
      </c>
      <c r="N45" s="531"/>
      <c r="O45" s="531"/>
      <c r="P45" s="531"/>
      <c r="Q45" s="26"/>
      <c r="S45" s="117"/>
      <c r="T45" s="118"/>
      <c r="U45" s="118"/>
      <c r="V45" s="118"/>
      <c r="W45" s="118"/>
      <c r="X45" s="118"/>
      <c r="Y45" s="42"/>
      <c r="AH45" s="24"/>
      <c r="AI45" s="216" t="s">
        <v>644</v>
      </c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6"/>
    </row>
    <row r="46" spans="1:46" ht="15.75" hidden="1">
      <c r="A46" s="127" t="s">
        <v>1</v>
      </c>
      <c r="B46" s="128" t="s">
        <v>7</v>
      </c>
      <c r="C46" s="3" t="s">
        <v>8</v>
      </c>
      <c r="D46" s="3" t="s">
        <v>9</v>
      </c>
      <c r="E46" s="313" t="s">
        <v>27</v>
      </c>
      <c r="F46" s="3" t="s">
        <v>10</v>
      </c>
      <c r="G46" s="3" t="s">
        <v>11</v>
      </c>
      <c r="H46" s="3" t="s">
        <v>14</v>
      </c>
      <c r="I46" s="3" t="s">
        <v>13</v>
      </c>
      <c r="J46" s="9" t="s">
        <v>15</v>
      </c>
      <c r="K46" s="9" t="s">
        <v>16</v>
      </c>
      <c r="L46" s="116"/>
      <c r="M46" s="9" t="s">
        <v>23</v>
      </c>
      <c r="N46" s="9" t="s">
        <v>24</v>
      </c>
      <c r="O46" s="9" t="s">
        <v>15</v>
      </c>
      <c r="P46" s="9" t="s">
        <v>25</v>
      </c>
      <c r="Q46" s="26"/>
      <c r="S46" s="24"/>
      <c r="T46" s="131" t="s">
        <v>469</v>
      </c>
      <c r="U46" s="25"/>
      <c r="V46" s="25"/>
      <c r="W46" s="25"/>
      <c r="X46" s="25"/>
      <c r="Y46" s="26"/>
      <c r="AH46" s="24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6"/>
    </row>
    <row r="47" spans="1:46" ht="22.5" hidden="1" customHeight="1">
      <c r="A47" s="24" t="s">
        <v>2</v>
      </c>
      <c r="B47" s="25">
        <v>10</v>
      </c>
      <c r="C47" s="6">
        <f>$C$10</f>
        <v>70</v>
      </c>
      <c r="D47" s="6">
        <f>$C$11</f>
        <v>70</v>
      </c>
      <c r="E47" s="314">
        <f>$C$12</f>
        <v>0</v>
      </c>
      <c r="F47" s="5">
        <f>C47+D47+E47</f>
        <v>140</v>
      </c>
      <c r="G47" s="5"/>
      <c r="H47" s="5">
        <f>B47*F47*G47</f>
        <v>0</v>
      </c>
      <c r="I47" s="189">
        <f>B122*1.33^($E$16)/(1.6^($B$20/2))</f>
        <v>96903.739708415043</v>
      </c>
      <c r="J47" s="10" t="e">
        <f>I47/H47</f>
        <v>#DIV/0!</v>
      </c>
      <c r="K47" s="10" t="e">
        <f>J47*10/60/24</f>
        <v>#DIV/0!</v>
      </c>
      <c r="L47" s="116"/>
      <c r="M47" s="532">
        <f>I47*$C$7+$D$7*I48+$E$7*I49+$F$7*I50+$G$7*I51</f>
        <v>1389625.4684159271</v>
      </c>
      <c r="N47" s="529">
        <f>$C$7*H47+$D$7*H48+$E$7*H49+$F$7*H50+$G$7*H51</f>
        <v>342.72</v>
      </c>
      <c r="O47" s="529">
        <f>M47/N47</f>
        <v>4054.696161344325</v>
      </c>
      <c r="P47" s="533">
        <f>O47*10/60/24</f>
        <v>28.15761223155781</v>
      </c>
      <c r="Q47" s="26"/>
      <c r="S47" s="24"/>
      <c r="T47" s="25"/>
      <c r="U47" s="25"/>
      <c r="V47" s="25"/>
      <c r="W47" s="25"/>
      <c r="X47" s="25"/>
      <c r="Y47" s="26"/>
      <c r="AH47" s="24"/>
      <c r="AI47" s="5"/>
      <c r="AJ47" s="113" t="s">
        <v>458</v>
      </c>
      <c r="AK47" s="113" t="s">
        <v>460</v>
      </c>
      <c r="AL47" s="113" t="s">
        <v>461</v>
      </c>
      <c r="AM47" s="113" t="s">
        <v>459</v>
      </c>
      <c r="AN47" s="113" t="s">
        <v>462</v>
      </c>
      <c r="AO47" s="113" t="s">
        <v>466</v>
      </c>
      <c r="AP47" s="113" t="s">
        <v>465</v>
      </c>
      <c r="AQ47" s="25"/>
      <c r="AR47" s="25"/>
      <c r="AS47" s="25"/>
      <c r="AT47" s="26"/>
    </row>
    <row r="48" spans="1:46" hidden="1">
      <c r="A48" s="24" t="s">
        <v>3</v>
      </c>
      <c r="B48" s="25">
        <v>15</v>
      </c>
      <c r="C48" s="6">
        <f>$D$10</f>
        <v>40</v>
      </c>
      <c r="D48" s="6">
        <f>$D$11</f>
        <v>40</v>
      </c>
      <c r="E48" s="314">
        <f>$D$12</f>
        <v>0</v>
      </c>
      <c r="F48" s="5">
        <f>C48+D48+E48</f>
        <v>80</v>
      </c>
      <c r="G48" s="5"/>
      <c r="H48" s="5">
        <f>B48*F48*G48</f>
        <v>0</v>
      </c>
      <c r="I48" s="189">
        <f>C122*1.33^($E$16)/(1.6^($B$20/2))</f>
        <v>78815.041629510903</v>
      </c>
      <c r="J48" s="10" t="e">
        <f>I48/H48</f>
        <v>#DIV/0!</v>
      </c>
      <c r="K48" s="10" t="e">
        <f>J48*10/60/24</f>
        <v>#DIV/0!</v>
      </c>
      <c r="L48" s="116"/>
      <c r="M48" s="532"/>
      <c r="N48" s="529"/>
      <c r="O48" s="529"/>
      <c r="P48" s="533"/>
      <c r="Q48" s="26"/>
      <c r="S48" s="24"/>
      <c r="T48" s="25"/>
      <c r="U48" s="25"/>
      <c r="V48" s="25"/>
      <c r="W48" s="25" t="s">
        <v>471</v>
      </c>
      <c r="X48" s="25"/>
      <c r="Y48" s="26"/>
      <c r="AH48" s="24"/>
      <c r="AI48" s="5"/>
      <c r="AJ48" s="113"/>
      <c r="AK48" s="113"/>
      <c r="AL48" s="113"/>
      <c r="AM48" s="113"/>
      <c r="AN48" s="113"/>
      <c r="AO48" s="113"/>
      <c r="AP48" s="113"/>
      <c r="AQ48" s="25"/>
      <c r="AR48" s="25"/>
      <c r="AS48" s="25"/>
      <c r="AT48" s="26"/>
    </row>
    <row r="49" spans="1:46" hidden="1">
      <c r="A49" s="24" t="s">
        <v>4</v>
      </c>
      <c r="B49" s="25">
        <v>12</v>
      </c>
      <c r="C49" s="6">
        <f>$E$10</f>
        <v>100</v>
      </c>
      <c r="D49" s="6">
        <f>$E$11</f>
        <v>70</v>
      </c>
      <c r="E49" s="314">
        <f>$E$12</f>
        <v>0</v>
      </c>
      <c r="F49" s="5">
        <f>C49+D49+E49</f>
        <v>170</v>
      </c>
      <c r="G49" s="5">
        <v>7.0000000000000007E-2</v>
      </c>
      <c r="H49" s="5">
        <f>B49*F49*G49</f>
        <v>142.80000000000001</v>
      </c>
      <c r="I49" s="189">
        <f>D122*1.33^($E$16)/(1.6^($B$20/2))</f>
        <v>187347.23010293575</v>
      </c>
      <c r="J49" s="10">
        <f>I49/H49</f>
        <v>1311.9553928777011</v>
      </c>
      <c r="K49" s="10">
        <f>J49*10/60/24</f>
        <v>9.1108013394284804</v>
      </c>
      <c r="L49" s="116"/>
      <c r="M49" s="532"/>
      <c r="N49" s="529"/>
      <c r="O49" s="529"/>
      <c r="P49" s="533"/>
      <c r="Q49" s="26"/>
      <c r="S49" s="24"/>
      <c r="T49" s="132" t="s">
        <v>396</v>
      </c>
      <c r="U49" s="5" t="s">
        <v>406</v>
      </c>
      <c r="V49" s="5" t="s">
        <v>470</v>
      </c>
      <c r="W49" s="71" t="s">
        <v>407</v>
      </c>
      <c r="X49" s="74" t="s">
        <v>22</v>
      </c>
      <c r="Y49" s="26"/>
      <c r="AE49" s="92"/>
      <c r="AH49" s="24"/>
      <c r="AI49" s="5" t="s">
        <v>2</v>
      </c>
      <c r="AJ49" s="189">
        <f>B130*1.33^($P$7)/(1.6^($B$20/2))</f>
        <v>32743.752235775002</v>
      </c>
      <c r="AK49" s="548">
        <f>240/(P7+19)</f>
        <v>5.2173913043478262</v>
      </c>
      <c r="AL49" s="548">
        <f>240/((P7+1)+19)</f>
        <v>5.1063829787234045</v>
      </c>
      <c r="AM49" s="545">
        <f>(AK49-AL49)/AK49</f>
        <v>2.1276595744680816E-2</v>
      </c>
      <c r="AN49" s="551">
        <f>O8</f>
        <v>300000</v>
      </c>
      <c r="AO49" s="542">
        <f>AM49*AN53</f>
        <v>6382.9787234042451</v>
      </c>
      <c r="AP49" s="539">
        <f>AJ54/AO49</f>
        <v>30.318994696472892</v>
      </c>
      <c r="AQ49" s="25"/>
      <c r="AR49" s="25"/>
      <c r="AS49" s="25"/>
      <c r="AT49" s="26"/>
    </row>
    <row r="50" spans="1:46" hidden="1">
      <c r="A50" s="24" t="s">
        <v>5</v>
      </c>
      <c r="B50" s="25">
        <v>10</v>
      </c>
      <c r="C50" s="6">
        <f>$F$10</f>
        <v>70</v>
      </c>
      <c r="D50" s="6">
        <f>$F$11</f>
        <v>50</v>
      </c>
      <c r="E50" s="314">
        <f>$F$12</f>
        <v>0</v>
      </c>
      <c r="F50" s="5">
        <f>C50+D50+E50</f>
        <v>120</v>
      </c>
      <c r="G50" s="5"/>
      <c r="H50" s="5">
        <f>B50*F50*G50</f>
        <v>0</v>
      </c>
      <c r="I50" s="189">
        <f>E122*1.33^($E$16)/(1.6^($B$20/2))</f>
        <v>229984.87557463837</v>
      </c>
      <c r="J50" s="10" t="e">
        <f>I50/H50</f>
        <v>#DIV/0!</v>
      </c>
      <c r="K50" s="10" t="e">
        <f>J50*10/60/24</f>
        <v>#DIV/0!</v>
      </c>
      <c r="L50" s="116"/>
      <c r="M50" s="532"/>
      <c r="N50" s="529"/>
      <c r="O50" s="529"/>
      <c r="P50" s="533"/>
      <c r="Q50" s="26"/>
      <c r="S50" s="24"/>
      <c r="T50" s="5" t="s">
        <v>409</v>
      </c>
      <c r="U50" s="5">
        <v>35000</v>
      </c>
      <c r="V50" s="5">
        <v>12</v>
      </c>
      <c r="W50" s="135">
        <f>U50/V50</f>
        <v>2916.6666666666665</v>
      </c>
      <c r="X50" s="133">
        <f>$W$50*$Y$42</f>
        <v>6999.9999999999991</v>
      </c>
      <c r="Y50" s="26"/>
      <c r="AE50" s="92"/>
      <c r="AH50" s="24"/>
      <c r="AI50" s="5" t="s">
        <v>3</v>
      </c>
      <c r="AJ50" s="189">
        <f>C130*1.33^($P$7)/(1.6^($B$20/2))</f>
        <v>27782.577654596971</v>
      </c>
      <c r="AK50" s="549"/>
      <c r="AL50" s="549"/>
      <c r="AM50" s="546"/>
      <c r="AN50" s="552"/>
      <c r="AO50" s="543"/>
      <c r="AP50" s="540"/>
      <c r="AQ50" s="25"/>
      <c r="AR50" s="25"/>
      <c r="AS50" s="25"/>
      <c r="AT50" s="26"/>
    </row>
    <row r="51" spans="1:46" hidden="1">
      <c r="A51" s="24" t="s">
        <v>6</v>
      </c>
      <c r="B51" s="25">
        <v>9</v>
      </c>
      <c r="C51" s="6">
        <f>$G$10</f>
        <v>60</v>
      </c>
      <c r="D51" s="6">
        <f>$G$11</f>
        <v>70</v>
      </c>
      <c r="E51" s="314">
        <f>$G$12</f>
        <v>0</v>
      </c>
      <c r="F51" s="5">
        <f>C51+D51+E51</f>
        <v>130</v>
      </c>
      <c r="G51" s="5"/>
      <c r="H51" s="5">
        <f>B51*F51*G51</f>
        <v>0</v>
      </c>
      <c r="I51" s="189">
        <f>F122*1.33^($E$16)/(1.6^($B$20/2))</f>
        <v>52974.044373933561</v>
      </c>
      <c r="J51" s="10" t="e">
        <f>I51/H51</f>
        <v>#DIV/0!</v>
      </c>
      <c r="K51" s="10" t="e">
        <f>J51*10/60/24</f>
        <v>#DIV/0!</v>
      </c>
      <c r="L51" s="116"/>
      <c r="M51" s="532"/>
      <c r="N51" s="529"/>
      <c r="O51" s="529"/>
      <c r="P51" s="533"/>
      <c r="Q51" s="26"/>
      <c r="S51" s="24"/>
      <c r="T51" s="5" t="s">
        <v>410</v>
      </c>
      <c r="U51" s="5">
        <v>25000</v>
      </c>
      <c r="V51" s="5">
        <v>20</v>
      </c>
      <c r="W51" s="135">
        <f t="shared" ref="W51:W59" si="0">U51/V51</f>
        <v>1250</v>
      </c>
      <c r="X51" s="133">
        <f>$W$51*$AA$42</f>
        <v>2362.5</v>
      </c>
      <c r="Y51" s="26"/>
      <c r="AE51" s="92"/>
      <c r="AH51" s="24"/>
      <c r="AI51" s="5" t="s">
        <v>4</v>
      </c>
      <c r="AJ51" s="189">
        <f>D130*1.33^($P$7)/(1.6^($B$20/2))</f>
        <v>10914.584078591666</v>
      </c>
      <c r="AK51" s="549"/>
      <c r="AL51" s="549"/>
      <c r="AM51" s="546"/>
      <c r="AN51" s="220" t="s">
        <v>463</v>
      </c>
      <c r="AO51" s="543"/>
      <c r="AP51" s="540"/>
      <c r="AQ51" s="25"/>
      <c r="AR51" s="25"/>
      <c r="AS51" s="25"/>
      <c r="AT51" s="26"/>
    </row>
    <row r="52" spans="1:46" hidden="1">
      <c r="A52" s="24"/>
      <c r="B52" s="25"/>
      <c r="C52" s="25"/>
      <c r="D52" s="25"/>
      <c r="E52" s="238"/>
      <c r="F52" s="25"/>
      <c r="G52" s="25"/>
      <c r="H52" s="25"/>
      <c r="I52" s="25"/>
      <c r="J52" s="116"/>
      <c r="K52" s="116"/>
      <c r="L52" s="116"/>
      <c r="M52" s="116"/>
      <c r="N52" s="116"/>
      <c r="O52" s="116"/>
      <c r="P52" s="116"/>
      <c r="Q52" s="26"/>
      <c r="S52" s="24"/>
      <c r="T52" s="5" t="s">
        <v>411</v>
      </c>
      <c r="U52" s="5">
        <v>55000</v>
      </c>
      <c r="V52" s="5">
        <v>24</v>
      </c>
      <c r="W52" s="135">
        <f t="shared" si="0"/>
        <v>2291.6666666666665</v>
      </c>
      <c r="X52" s="133">
        <f>$W$52*$Z$42</f>
        <v>5179.1666666666661</v>
      </c>
      <c r="Y52" s="26"/>
      <c r="AE52" s="92"/>
      <c r="AH52" s="24"/>
      <c r="AI52" s="5" t="s">
        <v>5</v>
      </c>
      <c r="AJ52" s="189">
        <f>E130*1.33^($P$7)/(1.6^($B$20/2))</f>
        <v>14883.523743534091</v>
      </c>
      <c r="AK52" s="549"/>
      <c r="AL52" s="549"/>
      <c r="AM52" s="546"/>
      <c r="AN52" s="6" t="s">
        <v>464</v>
      </c>
      <c r="AO52" s="543"/>
      <c r="AP52" s="540"/>
      <c r="AQ52" s="25"/>
      <c r="AR52" s="25"/>
      <c r="AS52" s="25"/>
      <c r="AT52" s="26"/>
    </row>
    <row r="53" spans="1:46" hidden="1">
      <c r="A53" s="120" t="s">
        <v>19</v>
      </c>
      <c r="B53" s="25"/>
      <c r="C53" s="25"/>
      <c r="D53" s="25"/>
      <c r="E53" s="238"/>
      <c r="F53" s="25"/>
      <c r="G53" s="25"/>
      <c r="H53" s="25"/>
      <c r="I53" s="25"/>
      <c r="J53" s="116"/>
      <c r="K53" s="116"/>
      <c r="L53" s="116"/>
      <c r="M53" s="531" t="s">
        <v>22</v>
      </c>
      <c r="N53" s="531"/>
      <c r="O53" s="531"/>
      <c r="P53" s="531"/>
      <c r="Q53" s="26"/>
      <c r="S53" s="24"/>
      <c r="T53" s="5" t="s">
        <v>408</v>
      </c>
      <c r="U53" s="5">
        <v>100000</v>
      </c>
      <c r="V53" s="5">
        <v>28</v>
      </c>
      <c r="W53" s="135">
        <f t="shared" si="0"/>
        <v>3571.4285714285716</v>
      </c>
      <c r="X53" s="133">
        <f>$W$53*$X$42</f>
        <v>3571.4285714285716</v>
      </c>
      <c r="Y53" s="26"/>
      <c r="AE53" s="92"/>
      <c r="AH53" s="24"/>
      <c r="AI53" s="5" t="s">
        <v>6</v>
      </c>
      <c r="AJ53" s="189">
        <f>F130*1.33^($P$7)/(1.6^($B$20/2))</f>
        <v>12899.053911062878</v>
      </c>
      <c r="AK53" s="550"/>
      <c r="AL53" s="550"/>
      <c r="AM53" s="547"/>
      <c r="AN53" s="222">
        <f>P8</f>
        <v>300000</v>
      </c>
      <c r="AO53" s="544"/>
      <c r="AP53" s="541"/>
      <c r="AQ53" s="25"/>
      <c r="AR53" s="25"/>
      <c r="AS53" s="25"/>
      <c r="AT53" s="26"/>
    </row>
    <row r="54" spans="1:46" hidden="1">
      <c r="A54" s="127" t="s">
        <v>1</v>
      </c>
      <c r="B54" s="128" t="s">
        <v>7</v>
      </c>
      <c r="C54" s="3" t="s">
        <v>8</v>
      </c>
      <c r="D54" s="3" t="s">
        <v>9</v>
      </c>
      <c r="E54" s="313" t="s">
        <v>27</v>
      </c>
      <c r="F54" s="3" t="s">
        <v>10</v>
      </c>
      <c r="G54" s="3" t="s">
        <v>11</v>
      </c>
      <c r="H54" s="3" t="s">
        <v>14</v>
      </c>
      <c r="I54" s="3" t="s">
        <v>13</v>
      </c>
      <c r="J54" s="9" t="s">
        <v>15</v>
      </c>
      <c r="K54" s="9" t="s">
        <v>16</v>
      </c>
      <c r="L54" s="116"/>
      <c r="M54" s="9" t="s">
        <v>23</v>
      </c>
      <c r="N54" s="9" t="s">
        <v>24</v>
      </c>
      <c r="O54" s="9" t="s">
        <v>15</v>
      </c>
      <c r="P54" s="9" t="s">
        <v>25</v>
      </c>
      <c r="Q54" s="26"/>
      <c r="S54" s="24"/>
      <c r="T54" s="5" t="s">
        <v>412</v>
      </c>
      <c r="U54" s="5">
        <v>125000</v>
      </c>
      <c r="V54" s="5">
        <v>40</v>
      </c>
      <c r="W54" s="135">
        <f t="shared" si="0"/>
        <v>3125</v>
      </c>
      <c r="X54" s="133">
        <f>$W$54*$W$42</f>
        <v>7781.2500000000009</v>
      </c>
      <c r="Y54" s="26"/>
      <c r="AE54" s="92"/>
      <c r="AH54" s="24"/>
      <c r="AI54" s="5" t="s">
        <v>22</v>
      </c>
      <c r="AJ54" s="114">
        <f>AJ49*C7+AJ50*D7+E7*AJ51+AJ52*F7+G7*AJ53</f>
        <v>193525.49806259261</v>
      </c>
      <c r="AK54" s="25"/>
      <c r="AL54" s="25"/>
      <c r="AM54" s="25"/>
      <c r="AN54" s="25"/>
      <c r="AO54" s="25"/>
      <c r="AP54" s="25"/>
      <c r="AQ54" s="25"/>
      <c r="AR54" s="25"/>
      <c r="AS54" s="25"/>
      <c r="AT54" s="26"/>
    </row>
    <row r="55" spans="1:46" hidden="1">
      <c r="A55" s="24" t="s">
        <v>2</v>
      </c>
      <c r="B55" s="25">
        <v>10</v>
      </c>
      <c r="C55" s="6">
        <f>$C$10</f>
        <v>70</v>
      </c>
      <c r="D55" s="6">
        <f>$C$11</f>
        <v>70</v>
      </c>
      <c r="E55" s="314">
        <f>$C$12</f>
        <v>0</v>
      </c>
      <c r="F55" s="5">
        <f>C55+D55+E55</f>
        <v>140</v>
      </c>
      <c r="G55" s="5">
        <v>0.02</v>
      </c>
      <c r="H55" s="5">
        <f>B55*F55*G55</f>
        <v>28</v>
      </c>
      <c r="I55" s="189">
        <f>B123*1.33^($G$16)/(1.6^($B$20/2))</f>
        <v>118868.58737565578</v>
      </c>
      <c r="J55" s="10">
        <f>I55/H55</f>
        <v>4245.3066919877065</v>
      </c>
      <c r="K55" s="10">
        <f>J55*10/60/24</f>
        <v>29.481296472136847</v>
      </c>
      <c r="L55" s="116"/>
      <c r="M55" s="532">
        <f>I55*$C$7+$D$7*I56+$E$7*I57+$F$7*I58+$G$7*I59</f>
        <v>1276441.9004364985</v>
      </c>
      <c r="N55" s="529">
        <f>$C$7*H55+$D$7*H56+$E$7*H57+$F$7*H58+$G$7*H59</f>
        <v>290.10599999999999</v>
      </c>
      <c r="O55" s="529">
        <f>M55/N55</f>
        <v>4399.9155496146186</v>
      </c>
      <c r="P55" s="533">
        <f>O55*10/60/24</f>
        <v>30.554969094545964</v>
      </c>
      <c r="Q55" s="26"/>
      <c r="S55" s="24"/>
      <c r="T55" s="134" t="s">
        <v>413</v>
      </c>
      <c r="U55" s="5">
        <v>300000</v>
      </c>
      <c r="V55" s="5">
        <v>48</v>
      </c>
      <c r="W55" s="135">
        <f t="shared" si="0"/>
        <v>6250</v>
      </c>
      <c r="X55" s="133">
        <f>$W$55*$Y$42</f>
        <v>15000</v>
      </c>
      <c r="Y55" s="26"/>
      <c r="AE55" s="92"/>
      <c r="AH55" s="24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6"/>
    </row>
    <row r="56" spans="1:46" hidden="1">
      <c r="A56" s="24" t="s">
        <v>3</v>
      </c>
      <c r="B56" s="25">
        <v>15</v>
      </c>
      <c r="C56" s="6">
        <f>$D$10</f>
        <v>40</v>
      </c>
      <c r="D56" s="6">
        <f>$D$11</f>
        <v>40</v>
      </c>
      <c r="E56" s="314">
        <f>$D$12</f>
        <v>0</v>
      </c>
      <c r="F56" s="5">
        <f>C56+D56+E56</f>
        <v>80</v>
      </c>
      <c r="G56" s="5">
        <v>0.02</v>
      </c>
      <c r="H56" s="5">
        <f>B56*F56*G56</f>
        <v>24</v>
      </c>
      <c r="I56" s="189">
        <f>C123*1.33^($G$16)/(1.6^($B$20/2))</f>
        <v>144709.58463123313</v>
      </c>
      <c r="J56" s="10">
        <f>I56/H56</f>
        <v>6029.5660263013806</v>
      </c>
      <c r="K56" s="10">
        <f>J56*10/60/24</f>
        <v>41.871986293759591</v>
      </c>
      <c r="L56" s="116"/>
      <c r="M56" s="532"/>
      <c r="N56" s="529"/>
      <c r="O56" s="529"/>
      <c r="P56" s="533"/>
      <c r="Q56" s="26"/>
      <c r="S56" s="24"/>
      <c r="T56" s="5" t="s">
        <v>414</v>
      </c>
      <c r="U56" s="5">
        <v>200000</v>
      </c>
      <c r="V56" s="5">
        <v>80</v>
      </c>
      <c r="W56" s="135">
        <f t="shared" si="0"/>
        <v>2500</v>
      </c>
      <c r="X56" s="133">
        <f>$W$56*$AA$42</f>
        <v>4725</v>
      </c>
      <c r="Y56" s="26"/>
      <c r="AE56" s="92"/>
      <c r="AH56" s="24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6"/>
    </row>
    <row r="57" spans="1:46" hidden="1">
      <c r="A57" s="24" t="s">
        <v>4</v>
      </c>
      <c r="B57" s="25">
        <v>12</v>
      </c>
      <c r="C57" s="6">
        <f>$E$10</f>
        <v>100</v>
      </c>
      <c r="D57" s="6">
        <f>$E$11</f>
        <v>70</v>
      </c>
      <c r="E57" s="314">
        <f>$E$12</f>
        <v>0</v>
      </c>
      <c r="F57" s="5">
        <f>C57+D57+E57</f>
        <v>170</v>
      </c>
      <c r="G57" s="5">
        <v>0.02</v>
      </c>
      <c r="H57" s="5">
        <f>B57*F57*G57</f>
        <v>40.800000000000004</v>
      </c>
      <c r="I57" s="189">
        <f>D123*1.33^($G$16)/(1.6^($B$20/2))</f>
        <v>130497.0361406656</v>
      </c>
      <c r="J57" s="10">
        <f>I57/H57</f>
        <v>3198.4567681535682</v>
      </c>
      <c r="K57" s="10">
        <f>J57*10/60/24</f>
        <v>22.211505334399778</v>
      </c>
      <c r="L57" s="116"/>
      <c r="M57" s="532"/>
      <c r="N57" s="529"/>
      <c r="O57" s="529"/>
      <c r="P57" s="533"/>
      <c r="Q57" s="26"/>
      <c r="S57" s="24"/>
      <c r="T57" s="5" t="s">
        <v>415</v>
      </c>
      <c r="U57" s="5">
        <v>400000</v>
      </c>
      <c r="V57" s="5">
        <v>96</v>
      </c>
      <c r="W57" s="135">
        <f t="shared" si="0"/>
        <v>4166.666666666667</v>
      </c>
      <c r="X57" s="133">
        <f>$W$57*$Z$42</f>
        <v>9416.6666666666661</v>
      </c>
      <c r="Y57" s="26"/>
      <c r="AE57" s="92"/>
      <c r="AH57" s="24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6"/>
    </row>
    <row r="58" spans="1:46" hidden="1">
      <c r="A58" s="24" t="s">
        <v>5</v>
      </c>
      <c r="B58" s="25">
        <v>10</v>
      </c>
      <c r="C58" s="6">
        <f>$F$10</f>
        <v>70</v>
      </c>
      <c r="D58" s="6">
        <f>$F$11</f>
        <v>50</v>
      </c>
      <c r="E58" s="314">
        <f>$F$12</f>
        <v>0</v>
      </c>
      <c r="F58" s="5">
        <f>C58+D58+E58</f>
        <v>120</v>
      </c>
      <c r="G58" s="5">
        <v>0.02</v>
      </c>
      <c r="H58" s="5">
        <f>B58*F58*G58</f>
        <v>24</v>
      </c>
      <c r="I58" s="189">
        <f>E123*1.33^($G$16)/(1.6^($B$20/2))</f>
        <v>125328.83668955011</v>
      </c>
      <c r="J58" s="10">
        <f>I58/H58</f>
        <v>5222.0348620645882</v>
      </c>
      <c r="K58" s="10">
        <f>J58*10/60/24</f>
        <v>36.264130986559643</v>
      </c>
      <c r="L58" s="116"/>
      <c r="M58" s="532"/>
      <c r="N58" s="529"/>
      <c r="O58" s="529"/>
      <c r="P58" s="533"/>
      <c r="Q58" s="26"/>
      <c r="S58" s="24"/>
      <c r="T58" s="5" t="s">
        <v>416</v>
      </c>
      <c r="U58" s="5">
        <v>750000</v>
      </c>
      <c r="V58" s="5">
        <v>112</v>
      </c>
      <c r="W58" s="135">
        <f t="shared" si="0"/>
        <v>6696.4285714285716</v>
      </c>
      <c r="X58" s="133">
        <f>$W$58*$X$42</f>
        <v>6696.4285714285716</v>
      </c>
      <c r="Y58" s="26"/>
      <c r="AE58" s="92"/>
      <c r="AH58" s="24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6"/>
    </row>
    <row r="59" spans="1:46" hidden="1">
      <c r="A59" s="24" t="s">
        <v>6</v>
      </c>
      <c r="B59" s="25">
        <v>9</v>
      </c>
      <c r="C59" s="6">
        <f>$G$10</f>
        <v>60</v>
      </c>
      <c r="D59" s="6">
        <f>$G$11</f>
        <v>70</v>
      </c>
      <c r="E59" s="314">
        <f>$G$12</f>
        <v>0</v>
      </c>
      <c r="F59" s="5">
        <f>C59+D59+E59</f>
        <v>130</v>
      </c>
      <c r="G59" s="5">
        <v>0.02</v>
      </c>
      <c r="H59" s="5">
        <f>B59*F59*G59</f>
        <v>23.400000000000002</v>
      </c>
      <c r="I59" s="189">
        <f>F123*1.33^($G$16)/(1.6^($B$20/2))</f>
        <v>126620.88655232899</v>
      </c>
      <c r="J59" s="10">
        <f>I59/H59</f>
        <v>5411.1489979627768</v>
      </c>
      <c r="K59" s="10">
        <f>J59*10/60/24</f>
        <v>37.577423596963726</v>
      </c>
      <c r="L59" s="116"/>
      <c r="M59" s="532"/>
      <c r="N59" s="529"/>
      <c r="O59" s="529"/>
      <c r="P59" s="533"/>
      <c r="Q59" s="26"/>
      <c r="S59" s="24"/>
      <c r="T59" s="5" t="s">
        <v>417</v>
      </c>
      <c r="U59" s="5">
        <v>850000</v>
      </c>
      <c r="V59" s="5">
        <v>160</v>
      </c>
      <c r="W59" s="135">
        <f t="shared" si="0"/>
        <v>5312.5</v>
      </c>
      <c r="X59" s="133">
        <f>$W$59*$W$42</f>
        <v>13228.125000000002</v>
      </c>
      <c r="Y59" s="26"/>
      <c r="AH59" s="24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6"/>
    </row>
    <row r="60" spans="1:46" ht="15.75" hidden="1" thickBot="1">
      <c r="A60" s="24"/>
      <c r="B60" s="25"/>
      <c r="C60" s="25"/>
      <c r="D60" s="25"/>
      <c r="E60" s="238"/>
      <c r="F60" s="25"/>
      <c r="G60" s="25"/>
      <c r="H60" s="25"/>
      <c r="I60" s="25"/>
      <c r="J60" s="116"/>
      <c r="K60" s="116"/>
      <c r="L60" s="116"/>
      <c r="M60" s="116"/>
      <c r="N60" s="116"/>
      <c r="O60" s="116"/>
      <c r="P60" s="116"/>
      <c r="Q60" s="26"/>
      <c r="S60" s="124"/>
      <c r="T60" s="106"/>
      <c r="U60" s="106"/>
      <c r="V60" s="106"/>
      <c r="W60" s="106"/>
      <c r="X60" s="106"/>
      <c r="Y60" s="54"/>
      <c r="AH60" s="24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6"/>
    </row>
    <row r="61" spans="1:46" ht="15.75" hidden="1" thickBot="1">
      <c r="A61" s="120" t="s">
        <v>20</v>
      </c>
      <c r="B61" s="25"/>
      <c r="C61" s="25"/>
      <c r="D61" s="25"/>
      <c r="E61" s="238"/>
      <c r="F61" s="25"/>
      <c r="G61" s="25"/>
      <c r="H61" s="25"/>
      <c r="I61" s="25"/>
      <c r="J61" s="116"/>
      <c r="K61" s="116"/>
      <c r="L61" s="116"/>
      <c r="M61" s="531" t="s">
        <v>22</v>
      </c>
      <c r="N61" s="531"/>
      <c r="O61" s="531"/>
      <c r="P61" s="531"/>
      <c r="Q61" s="26"/>
      <c r="AH61" s="24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6"/>
    </row>
    <row r="62" spans="1:46" hidden="1">
      <c r="A62" s="127" t="s">
        <v>1</v>
      </c>
      <c r="B62" s="128" t="s">
        <v>7</v>
      </c>
      <c r="C62" s="3" t="s">
        <v>8</v>
      </c>
      <c r="D62" s="3" t="s">
        <v>9</v>
      </c>
      <c r="E62" s="313" t="s">
        <v>27</v>
      </c>
      <c r="F62" s="3" t="s">
        <v>10</v>
      </c>
      <c r="G62" s="3" t="s">
        <v>11</v>
      </c>
      <c r="H62" s="3" t="s">
        <v>14</v>
      </c>
      <c r="I62" s="3" t="s">
        <v>13</v>
      </c>
      <c r="J62" s="9" t="s">
        <v>15</v>
      </c>
      <c r="K62" s="9" t="s">
        <v>16</v>
      </c>
      <c r="L62" s="116"/>
      <c r="M62" s="9" t="s">
        <v>23</v>
      </c>
      <c r="N62" s="9" t="s">
        <v>24</v>
      </c>
      <c r="O62" s="9" t="s">
        <v>15</v>
      </c>
      <c r="P62" s="9" t="s">
        <v>25</v>
      </c>
      <c r="Q62" s="26"/>
      <c r="S62" s="117"/>
      <c r="T62" s="118"/>
      <c r="U62" s="118"/>
      <c r="V62" s="42"/>
      <c r="AH62" s="24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6"/>
    </row>
    <row r="63" spans="1:46" ht="15.75" hidden="1" thickBot="1">
      <c r="A63" s="24" t="s">
        <v>2</v>
      </c>
      <c r="B63" s="25">
        <v>10</v>
      </c>
      <c r="C63" s="6">
        <f>$C$10</f>
        <v>70</v>
      </c>
      <c r="D63" s="6">
        <f>$C$11</f>
        <v>70</v>
      </c>
      <c r="E63" s="314">
        <f>$C$12</f>
        <v>0</v>
      </c>
      <c r="F63" s="5">
        <f>C63+D63+E63</f>
        <v>140</v>
      </c>
      <c r="G63" s="5"/>
      <c r="H63" s="5">
        <f>B63*F63*G63</f>
        <v>0</v>
      </c>
      <c r="I63" s="189">
        <f>B124*1.33^($H$16)/(1.6^($B$20/2))</f>
        <v>46747.239085221037</v>
      </c>
      <c r="J63" s="10" t="e">
        <f>I63/H63</f>
        <v>#DIV/0!</v>
      </c>
      <c r="K63" s="10" t="e">
        <f>J63*10/60/24</f>
        <v>#DIV/0!</v>
      </c>
      <c r="L63" s="116"/>
      <c r="M63" s="532">
        <f>I63*$C$7+$D$7*I64+$E$7*I65+$F$7*I66+$G$7*I67</f>
        <v>776391.29438834381</v>
      </c>
      <c r="N63" s="529">
        <f>$C$7*H63+$D$7*H64+$E$7*H65+$F$7*H66+$G$7*H67</f>
        <v>189.84</v>
      </c>
      <c r="O63" s="529">
        <f>M63/N63</f>
        <v>4089.7139400987348</v>
      </c>
      <c r="P63" s="533">
        <f>O63*10/60/24</f>
        <v>28.400791250685657</v>
      </c>
      <c r="Q63" s="26"/>
      <c r="S63" s="24"/>
      <c r="T63" s="211" t="s">
        <v>419</v>
      </c>
      <c r="U63" s="25" t="s">
        <v>420</v>
      </c>
      <c r="V63" s="209" t="s">
        <v>421</v>
      </c>
      <c r="W63" s="94"/>
      <c r="AH63" s="124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54"/>
    </row>
    <row r="64" spans="1:46" hidden="1">
      <c r="A64" s="24" t="s">
        <v>3</v>
      </c>
      <c r="B64" s="25">
        <v>15</v>
      </c>
      <c r="C64" s="6">
        <f>$D$10</f>
        <v>40</v>
      </c>
      <c r="D64" s="6">
        <f>$D$11</f>
        <v>40</v>
      </c>
      <c r="E64" s="314">
        <f>$D$12</f>
        <v>0</v>
      </c>
      <c r="F64" s="5">
        <f>C64+D64+E64</f>
        <v>80</v>
      </c>
      <c r="G64" s="5"/>
      <c r="H64" s="5">
        <f>B64*F64*G64</f>
        <v>0</v>
      </c>
      <c r="I64" s="189">
        <f>C124*1.33^($H$16)/(1.6^($B$20/2))</f>
        <v>55512.346413699983</v>
      </c>
      <c r="J64" s="10" t="e">
        <f>I64/H64</f>
        <v>#DIV/0!</v>
      </c>
      <c r="K64" s="10" t="e">
        <f>J64*10/60/24</f>
        <v>#DIV/0!</v>
      </c>
      <c r="L64" s="116"/>
      <c r="M64" s="532"/>
      <c r="N64" s="529"/>
      <c r="O64" s="529"/>
      <c r="P64" s="533"/>
      <c r="Q64" s="26"/>
      <c r="S64" s="24"/>
      <c r="T64" s="25"/>
      <c r="U64" s="25"/>
      <c r="V64" s="26"/>
    </row>
    <row r="65" spans="1:23" hidden="1">
      <c r="A65" s="24" t="s">
        <v>4</v>
      </c>
      <c r="B65" s="25">
        <v>12</v>
      </c>
      <c r="C65" s="6">
        <f>$E$10</f>
        <v>100</v>
      </c>
      <c r="D65" s="6">
        <f>$E$11</f>
        <v>70</v>
      </c>
      <c r="E65" s="314">
        <f>$E$12</f>
        <v>0</v>
      </c>
      <c r="F65" s="5">
        <f>C65+D65+E65</f>
        <v>170</v>
      </c>
      <c r="G65" s="5"/>
      <c r="H65" s="5">
        <f>B65*F65*G65</f>
        <v>0</v>
      </c>
      <c r="I65" s="189">
        <f>D124*1.33^($H$16)/(1.6^($B$20/2))</f>
        <v>109563.84160598682</v>
      </c>
      <c r="J65" s="10" t="e">
        <f>I65/H65</f>
        <v>#DIV/0!</v>
      </c>
      <c r="K65" s="10" t="e">
        <f>J65*10/60/24</f>
        <v>#DIV/0!</v>
      </c>
      <c r="L65" s="116"/>
      <c r="M65" s="532"/>
      <c r="N65" s="529"/>
      <c r="O65" s="529"/>
      <c r="P65" s="533"/>
      <c r="Q65" s="26"/>
      <c r="S65" s="24"/>
      <c r="T65" s="25" t="s">
        <v>2</v>
      </c>
      <c r="U65" s="19">
        <f>$C$31*($U$34+($AC$34-$AB$34)*$U$34)*6*168</f>
        <v>3683231.9999999995</v>
      </c>
      <c r="V65" s="210">
        <f>D31*(U34+(AC34-AB34)*U34)*6*168</f>
        <v>3683231.9999999995</v>
      </c>
      <c r="W65" s="94"/>
    </row>
    <row r="66" spans="1:23" hidden="1">
      <c r="A66" s="24" t="s">
        <v>5</v>
      </c>
      <c r="B66" s="25">
        <v>10</v>
      </c>
      <c r="C66" s="6">
        <f>$F$10</f>
        <v>70</v>
      </c>
      <c r="D66" s="6">
        <f>$F$11</f>
        <v>50</v>
      </c>
      <c r="E66" s="314">
        <f>$F$12</f>
        <v>0</v>
      </c>
      <c r="F66" s="5">
        <f>C66+D66+E66</f>
        <v>120</v>
      </c>
      <c r="G66" s="5">
        <v>7.0000000000000007E-2</v>
      </c>
      <c r="H66" s="5">
        <f>B66*F66*G66</f>
        <v>84.000000000000014</v>
      </c>
      <c r="I66" s="189">
        <f>E124*1.33^($H$16)/(1.6^($B$20/2))</f>
        <v>139511.29164495654</v>
      </c>
      <c r="J66" s="10">
        <f>I66/H66</f>
        <v>1660.8487100590062</v>
      </c>
      <c r="K66" s="10">
        <f>J66*10/60/24</f>
        <v>11.533671597631987</v>
      </c>
      <c r="L66" s="116"/>
      <c r="M66" s="532"/>
      <c r="N66" s="529"/>
      <c r="O66" s="529"/>
      <c r="P66" s="533"/>
      <c r="Q66" s="26"/>
      <c r="S66" s="24"/>
      <c r="T66" s="25" t="s">
        <v>3</v>
      </c>
      <c r="U66" s="19">
        <f>$C$32*($U$35+($AC$35-$AB$35)*$U$35)*6*168</f>
        <v>2987712</v>
      </c>
      <c r="V66" s="210">
        <f>D32*(U35+(AC35-0)*U35)*6*168</f>
        <v>3350592</v>
      </c>
      <c r="W66" s="94"/>
    </row>
    <row r="67" spans="1:23" hidden="1">
      <c r="A67" s="24" t="s">
        <v>6</v>
      </c>
      <c r="B67" s="25">
        <v>9</v>
      </c>
      <c r="C67" s="6">
        <f>$G$10</f>
        <v>60</v>
      </c>
      <c r="D67" s="6">
        <f>$G$11</f>
        <v>70</v>
      </c>
      <c r="E67" s="314">
        <f>$G$12</f>
        <v>0</v>
      </c>
      <c r="F67" s="5">
        <f>C67+D67+E67</f>
        <v>130</v>
      </c>
      <c r="G67" s="5"/>
      <c r="H67" s="5">
        <f>B67*F67*G67</f>
        <v>0</v>
      </c>
      <c r="I67" s="189">
        <f>F124*1.33^($H$16)/(1.6^($B$20/2))</f>
        <v>13878.086603424996</v>
      </c>
      <c r="J67" s="10" t="e">
        <f>I67/H67</f>
        <v>#DIV/0!</v>
      </c>
      <c r="K67" s="10" t="e">
        <f>J67*10/60/24</f>
        <v>#DIV/0!</v>
      </c>
      <c r="L67" s="116"/>
      <c r="M67" s="532"/>
      <c r="N67" s="529"/>
      <c r="O67" s="529"/>
      <c r="P67" s="533"/>
      <c r="Q67" s="26"/>
      <c r="S67" s="24"/>
      <c r="T67" s="25" t="s">
        <v>4</v>
      </c>
      <c r="U67" s="19">
        <f>$C$33*($U$36+($AC$36-$AB$36)*$U$36)*6*168</f>
        <v>6398784</v>
      </c>
      <c r="V67" s="210">
        <f>D33*(U36+(AC36-AB36)*U36)*6*168</f>
        <v>4479148.8000000007</v>
      </c>
      <c r="W67" s="94"/>
    </row>
    <row r="68" spans="1:23" hidden="1">
      <c r="A68" s="24"/>
      <c r="B68" s="25"/>
      <c r="C68" s="76"/>
      <c r="D68" s="76"/>
      <c r="E68" s="300"/>
      <c r="F68" s="25"/>
      <c r="G68" s="25"/>
      <c r="H68" s="25"/>
      <c r="I68" s="190"/>
      <c r="J68" s="116"/>
      <c r="K68" s="116"/>
      <c r="L68" s="116"/>
      <c r="M68" s="291"/>
      <c r="N68" s="292"/>
      <c r="O68" s="292"/>
      <c r="P68" s="293"/>
      <c r="Q68" s="26"/>
      <c r="S68" s="24"/>
      <c r="T68" s="25" t="s">
        <v>5</v>
      </c>
      <c r="U68" s="19">
        <f>$C$34*($U$37+($AC$37-0)*$U$37)*6*168</f>
        <v>3916080.0000000005</v>
      </c>
      <c r="V68" s="210">
        <f>D34*(U37+(AC37-AB37)*U37)*6*168</f>
        <v>2595600</v>
      </c>
      <c r="W68" s="94"/>
    </row>
    <row r="69" spans="1:23" hidden="1">
      <c r="A69" s="120" t="s">
        <v>714</v>
      </c>
      <c r="B69" s="25"/>
      <c r="C69" s="25"/>
      <c r="D69" s="25"/>
      <c r="E69" s="238"/>
      <c r="F69" s="25"/>
      <c r="G69" s="25"/>
      <c r="H69" s="25"/>
      <c r="I69" s="25"/>
      <c r="J69" s="116"/>
      <c r="K69" s="116"/>
      <c r="L69" s="116"/>
      <c r="M69" s="531" t="s">
        <v>22</v>
      </c>
      <c r="N69" s="531"/>
      <c r="O69" s="531"/>
      <c r="P69" s="531"/>
      <c r="Q69" s="26"/>
      <c r="S69" s="24"/>
      <c r="T69" s="25" t="s">
        <v>6</v>
      </c>
      <c r="U69" s="19">
        <f>$C$35*($U$38+($AC$38-0)*$U$38)*6*168</f>
        <v>3020976</v>
      </c>
      <c r="V69" s="210">
        <f>D35*(U38+(AC38-0)*U38)*6*168</f>
        <v>3524472</v>
      </c>
      <c r="W69" s="94"/>
    </row>
    <row r="70" spans="1:23" hidden="1">
      <c r="A70" s="127" t="s">
        <v>1</v>
      </c>
      <c r="B70" s="128" t="s">
        <v>7</v>
      </c>
      <c r="C70" s="3" t="s">
        <v>8</v>
      </c>
      <c r="D70" s="3" t="s">
        <v>9</v>
      </c>
      <c r="E70" s="313" t="s">
        <v>27</v>
      </c>
      <c r="F70" s="3" t="s">
        <v>10</v>
      </c>
      <c r="G70" s="3" t="s">
        <v>11</v>
      </c>
      <c r="H70" s="3" t="s">
        <v>14</v>
      </c>
      <c r="I70" s="3" t="s">
        <v>13</v>
      </c>
      <c r="J70" s="9" t="s">
        <v>15</v>
      </c>
      <c r="K70" s="9" t="s">
        <v>16</v>
      </c>
      <c r="L70" s="116"/>
      <c r="M70" s="9" t="s">
        <v>23</v>
      </c>
      <c r="N70" s="9" t="s">
        <v>24</v>
      </c>
      <c r="O70" s="9" t="s">
        <v>15</v>
      </c>
      <c r="P70" s="9" t="s">
        <v>25</v>
      </c>
      <c r="Q70" s="26"/>
      <c r="S70" s="24"/>
      <c r="T70" s="25"/>
      <c r="U70" s="25"/>
      <c r="V70" s="26"/>
      <c r="W70" s="94"/>
    </row>
    <row r="71" spans="1:23" hidden="1">
      <c r="A71" s="24" t="s">
        <v>2</v>
      </c>
      <c r="B71" s="25">
        <v>10</v>
      </c>
      <c r="C71" s="6">
        <f>$C$10</f>
        <v>70</v>
      </c>
      <c r="D71" s="6">
        <f>$C$11</f>
        <v>70</v>
      </c>
      <c r="E71" s="314">
        <f>$C$12</f>
        <v>0</v>
      </c>
      <c r="F71" s="5">
        <f>C71+D71+E71</f>
        <v>140</v>
      </c>
      <c r="G71" s="5"/>
      <c r="H71" s="5">
        <f>B71*F71*G71</f>
        <v>0</v>
      </c>
      <c r="I71" s="189">
        <f>B125*1.33^($F$16)/(1.6^($B$20/2))</f>
        <v>89111.924506202617</v>
      </c>
      <c r="J71" s="10" t="e">
        <f>I71/H71</f>
        <v>#DIV/0!</v>
      </c>
      <c r="K71" s="10" t="e">
        <f>J71*10/60/24</f>
        <v>#DIV/0!</v>
      </c>
      <c r="L71" s="116"/>
      <c r="M71" s="532">
        <f>I71*$C$7+$D$7*I72+$E$7*I73+$F$7*I74+$G$7*I75</f>
        <v>725999.23150569701</v>
      </c>
      <c r="N71" s="529">
        <f>$C$7*H71+$D$7*H72+$E$7*H73+$F$7*H74+$G$7*H75</f>
        <v>154.791</v>
      </c>
      <c r="O71" s="529">
        <f>M71/N71</f>
        <v>4690.190201663514</v>
      </c>
      <c r="P71" s="533">
        <f>O71*10/60/24</f>
        <v>32.570765289329962</v>
      </c>
      <c r="Q71" s="26"/>
      <c r="S71" s="24"/>
      <c r="T71" s="25" t="s">
        <v>22</v>
      </c>
      <c r="U71" s="19">
        <f>U65*W42+X42*U66+U67*Y42+Z42*U68+U69*AA42</f>
        <v>42076026.719999999</v>
      </c>
      <c r="V71" s="20">
        <f>V65*W42+X42*V66+V67*Y42+Z42*V68+V69*AA42</f>
        <v>35799104.880000003</v>
      </c>
      <c r="W71" s="94"/>
    </row>
    <row r="72" spans="1:23" ht="15.75" hidden="1" thickBot="1">
      <c r="A72" s="24" t="s">
        <v>3</v>
      </c>
      <c r="B72" s="25">
        <v>15</v>
      </c>
      <c r="C72" s="6">
        <f>$D$10</f>
        <v>40</v>
      </c>
      <c r="D72" s="6">
        <f>$D$11</f>
        <v>40</v>
      </c>
      <c r="E72" s="314">
        <f>$D$12</f>
        <v>0</v>
      </c>
      <c r="F72" s="5">
        <f>C72+D72+E72</f>
        <v>80</v>
      </c>
      <c r="G72" s="5"/>
      <c r="H72" s="5">
        <f>B72*F72*G72</f>
        <v>0</v>
      </c>
      <c r="I72" s="189">
        <f>C125*1.33^($F$16)/(1.6^($B$20/2))</f>
        <v>92764.052559735501</v>
      </c>
      <c r="J72" s="10" t="e">
        <f>I72/H72</f>
        <v>#DIV/0!</v>
      </c>
      <c r="K72" s="10" t="e">
        <f>J72*10/60/24</f>
        <v>#DIV/0!</v>
      </c>
      <c r="L72" s="116"/>
      <c r="M72" s="532"/>
      <c r="N72" s="529"/>
      <c r="O72" s="529"/>
      <c r="P72" s="533"/>
      <c r="Q72" s="26"/>
      <c r="S72" s="124"/>
      <c r="T72" s="106"/>
      <c r="U72" s="106"/>
      <c r="V72" s="54"/>
      <c r="W72" s="94"/>
    </row>
    <row r="73" spans="1:23" hidden="1">
      <c r="A73" s="24" t="s">
        <v>4</v>
      </c>
      <c r="B73" s="25">
        <v>12</v>
      </c>
      <c r="C73" s="6">
        <f>$E$10</f>
        <v>100</v>
      </c>
      <c r="D73" s="6">
        <f>$E$11</f>
        <v>70</v>
      </c>
      <c r="E73" s="314">
        <f>$E$12</f>
        <v>0</v>
      </c>
      <c r="F73" s="5">
        <f>C73+D73+E73</f>
        <v>170</v>
      </c>
      <c r="G73" s="5"/>
      <c r="H73" s="5">
        <f>B73*F73*G73</f>
        <v>0</v>
      </c>
      <c r="I73" s="189">
        <f>D125*1.33^($F$16)/(1.6^($B$20/2))</f>
        <v>117598.52332375917</v>
      </c>
      <c r="J73" s="10" t="e">
        <f>I73/H73</f>
        <v>#DIV/0!</v>
      </c>
      <c r="K73" s="10" t="e">
        <f>J73*10/60/24</f>
        <v>#DIV/0!</v>
      </c>
      <c r="L73" s="116"/>
      <c r="M73" s="532"/>
      <c r="N73" s="529"/>
      <c r="O73" s="529"/>
      <c r="P73" s="533"/>
      <c r="Q73" s="26"/>
      <c r="S73" s="24"/>
      <c r="T73" s="25"/>
      <c r="U73" s="19"/>
      <c r="V73" s="210"/>
      <c r="W73" s="94"/>
    </row>
    <row r="74" spans="1:23" hidden="1">
      <c r="A74" s="24" t="s">
        <v>5</v>
      </c>
      <c r="B74" s="25">
        <v>10</v>
      </c>
      <c r="C74" s="6">
        <f>$F$10</f>
        <v>70</v>
      </c>
      <c r="D74" s="6">
        <f>$F$11</f>
        <v>50</v>
      </c>
      <c r="E74" s="314">
        <f>$F$12</f>
        <v>0</v>
      </c>
      <c r="F74" s="5">
        <f>C74+D74+E74</f>
        <v>120</v>
      </c>
      <c r="G74" s="5"/>
      <c r="H74" s="5">
        <f>B74*F74*G74</f>
        <v>0</v>
      </c>
      <c r="I74" s="189">
        <f>E125*1.33^($F$16)/(1.6^($B$20/2))</f>
        <v>13147.660992718418</v>
      </c>
      <c r="J74" s="10" t="e">
        <f>I74/H74</f>
        <v>#DIV/0!</v>
      </c>
      <c r="K74" s="10" t="e">
        <f>J74*10/60/24</f>
        <v>#DIV/0!</v>
      </c>
      <c r="L74" s="116"/>
      <c r="M74" s="532"/>
      <c r="N74" s="529"/>
      <c r="O74" s="529"/>
      <c r="P74" s="533"/>
      <c r="Q74" s="26"/>
      <c r="S74" s="24"/>
      <c r="T74" s="25"/>
      <c r="U74" s="19"/>
      <c r="V74" s="210"/>
      <c r="W74" s="94"/>
    </row>
    <row r="75" spans="1:23" hidden="1">
      <c r="A75" s="24" t="s">
        <v>6</v>
      </c>
      <c r="B75" s="25">
        <v>9</v>
      </c>
      <c r="C75" s="6">
        <f>$G$10</f>
        <v>60</v>
      </c>
      <c r="D75" s="6">
        <f>$G$11</f>
        <v>70</v>
      </c>
      <c r="E75" s="314">
        <f>$G$12</f>
        <v>0</v>
      </c>
      <c r="F75" s="5">
        <f>C75+D75+E75</f>
        <v>130</v>
      </c>
      <c r="G75" s="5">
        <v>7.0000000000000007E-2</v>
      </c>
      <c r="H75" s="5">
        <f>B75*F75*G75</f>
        <v>81.900000000000006</v>
      </c>
      <c r="I75" s="189">
        <f>F125*1.33^($F$16)/(1.6^($B$20/2))</f>
        <v>52590.643970873673</v>
      </c>
      <c r="J75" s="10">
        <f>I75/H75</f>
        <v>642.13240501677251</v>
      </c>
      <c r="K75" s="10">
        <f>J75*10/60/24</f>
        <v>4.4592528126164757</v>
      </c>
      <c r="L75" s="116"/>
      <c r="M75" s="532"/>
      <c r="N75" s="529"/>
      <c r="O75" s="529"/>
      <c r="P75" s="533"/>
      <c r="Q75" s="26"/>
      <c r="S75" s="24"/>
      <c r="T75" s="25"/>
      <c r="U75" s="19"/>
      <c r="V75" s="210"/>
      <c r="W75" s="94"/>
    </row>
    <row r="76" spans="1:23" hidden="1">
      <c r="A76" s="24"/>
      <c r="B76" s="25"/>
      <c r="C76" s="25"/>
      <c r="D76" s="25"/>
      <c r="E76" s="238"/>
      <c r="F76" s="25"/>
      <c r="G76" s="25"/>
      <c r="H76" s="25"/>
      <c r="I76" s="25"/>
      <c r="J76" s="116"/>
      <c r="K76" s="116"/>
      <c r="L76" s="116"/>
      <c r="M76" s="116"/>
      <c r="N76" s="116"/>
      <c r="O76" s="116"/>
      <c r="P76" s="116"/>
      <c r="Q76" s="26"/>
      <c r="W76" s="94"/>
    </row>
    <row r="77" spans="1:23" hidden="1">
      <c r="A77" s="120" t="s">
        <v>26</v>
      </c>
      <c r="B77" s="25"/>
      <c r="C77" s="25"/>
      <c r="D77" s="25"/>
      <c r="E77" s="238"/>
      <c r="F77" s="25"/>
      <c r="G77" s="25"/>
      <c r="H77" s="25"/>
      <c r="I77" s="25"/>
      <c r="J77" s="116"/>
      <c r="K77" s="116"/>
      <c r="L77" s="116"/>
      <c r="M77" s="531" t="s">
        <v>22</v>
      </c>
      <c r="N77" s="531"/>
      <c r="O77" s="531"/>
      <c r="P77" s="531"/>
      <c r="Q77" s="26"/>
      <c r="W77" s="94"/>
    </row>
    <row r="78" spans="1:23" ht="31.5" hidden="1" customHeight="1">
      <c r="A78" s="127" t="s">
        <v>1</v>
      </c>
      <c r="B78" s="128" t="s">
        <v>7</v>
      </c>
      <c r="C78" s="3" t="s">
        <v>8</v>
      </c>
      <c r="D78" s="3" t="s">
        <v>9</v>
      </c>
      <c r="E78" s="313" t="s">
        <v>27</v>
      </c>
      <c r="F78" s="3" t="s">
        <v>10</v>
      </c>
      <c r="G78" s="3" t="s">
        <v>11</v>
      </c>
      <c r="H78" s="3" t="s">
        <v>14</v>
      </c>
      <c r="I78" s="11" t="s">
        <v>28</v>
      </c>
      <c r="J78" s="9" t="s">
        <v>15</v>
      </c>
      <c r="K78" s="9" t="s">
        <v>16</v>
      </c>
      <c r="L78" s="116"/>
      <c r="M78" s="9" t="s">
        <v>23</v>
      </c>
      <c r="N78" s="9" t="s">
        <v>24</v>
      </c>
      <c r="O78" s="9" t="s">
        <v>15</v>
      </c>
      <c r="P78" s="9" t="s">
        <v>25</v>
      </c>
      <c r="Q78" s="26"/>
    </row>
    <row r="79" spans="1:23" hidden="1">
      <c r="A79" s="24" t="s">
        <v>2</v>
      </c>
      <c r="B79" s="25">
        <v>10</v>
      </c>
      <c r="C79" s="6">
        <f>$C$10</f>
        <v>70</v>
      </c>
      <c r="D79" s="6">
        <f>$C$11</f>
        <v>70</v>
      </c>
      <c r="E79" s="314">
        <f>$C$12</f>
        <v>0</v>
      </c>
      <c r="F79" s="5">
        <f>C79+D79+E79</f>
        <v>140</v>
      </c>
      <c r="G79" s="5">
        <v>7.0000000000000007E-2</v>
      </c>
      <c r="H79" s="5">
        <f>B79*F79*G79</f>
        <v>98.000000000000014</v>
      </c>
      <c r="I79" s="189">
        <f>(B126*1.2^($G$19+1))*(1-$E$20)</f>
        <v>599024.99881991779</v>
      </c>
      <c r="J79" s="10">
        <f>I79/H79</f>
        <v>6112.4999879583438</v>
      </c>
      <c r="K79" s="10">
        <f>J79*10/60/24</f>
        <v>42.447916583044055</v>
      </c>
      <c r="L79" s="116"/>
      <c r="M79" s="532">
        <f>I79*$C$7+$D$7*I80+$E$7*I81+$F$7*I82+$G$7*I83</f>
        <v>4996090.3512687879</v>
      </c>
      <c r="N79" s="529">
        <f>$C$7*H79+$D$7*H80+$E$7*H81+$F$7*H82+$G$7*H83</f>
        <v>1015.3710000000001</v>
      </c>
      <c r="O79" s="529">
        <f>M79/N79</f>
        <v>4920.4579914817223</v>
      </c>
      <c r="P79" s="533">
        <f>O79*10/60/24</f>
        <v>34.169847163067516</v>
      </c>
      <c r="Q79" s="26"/>
      <c r="W79" s="94"/>
    </row>
    <row r="80" spans="1:23" hidden="1">
      <c r="A80" s="24" t="s">
        <v>3</v>
      </c>
      <c r="B80" s="25">
        <v>15</v>
      </c>
      <c r="C80" s="6">
        <f>$D$10</f>
        <v>40</v>
      </c>
      <c r="D80" s="6">
        <f>$D$11</f>
        <v>40</v>
      </c>
      <c r="E80" s="314">
        <f>$D$12</f>
        <v>0</v>
      </c>
      <c r="F80" s="5">
        <f>C80+D80+E80</f>
        <v>80</v>
      </c>
      <c r="G80" s="5">
        <v>7.0000000000000007E-2</v>
      </c>
      <c r="H80" s="5">
        <f>B80*F80*G80</f>
        <v>84.000000000000014</v>
      </c>
      <c r="I80" s="189">
        <f>(C126*1.2^($G$19+1))*(1-$E$20)</f>
        <v>332791.66601106542</v>
      </c>
      <c r="J80" s="10">
        <f>I80/H80</f>
        <v>3961.8055477507783</v>
      </c>
      <c r="K80" s="10">
        <f>J80*10/60/24</f>
        <v>27.51253852604707</v>
      </c>
      <c r="L80" s="116"/>
      <c r="M80" s="532"/>
      <c r="N80" s="529"/>
      <c r="O80" s="529"/>
      <c r="P80" s="533"/>
      <c r="Q80" s="26"/>
    </row>
    <row r="81" spans="1:23" hidden="1">
      <c r="A81" s="24" t="s">
        <v>4</v>
      </c>
      <c r="B81" s="25">
        <v>12</v>
      </c>
      <c r="C81" s="6">
        <f>$E$10</f>
        <v>100</v>
      </c>
      <c r="D81" s="6">
        <f>$E$11</f>
        <v>70</v>
      </c>
      <c r="E81" s="314">
        <f>$E$12</f>
        <v>0</v>
      </c>
      <c r="F81" s="5">
        <f>C81+D81+E81</f>
        <v>170</v>
      </c>
      <c r="G81" s="5">
        <v>7.0000000000000007E-2</v>
      </c>
      <c r="H81" s="5">
        <f>B81*F81*G81</f>
        <v>142.80000000000001</v>
      </c>
      <c r="I81" s="189">
        <f>(D126*1.2^($G$19+1))*(1-$E$20)</f>
        <v>554652.77668510901</v>
      </c>
      <c r="J81" s="10">
        <f>I81/H81</f>
        <v>3884.1230860301748</v>
      </c>
      <c r="K81" s="10">
        <f>J81*10/60/24</f>
        <v>26.973076986320653</v>
      </c>
      <c r="L81" s="116"/>
      <c r="M81" s="532"/>
      <c r="N81" s="529"/>
      <c r="O81" s="529"/>
      <c r="P81" s="533"/>
      <c r="Q81" s="26"/>
    </row>
    <row r="82" spans="1:23" hidden="1">
      <c r="A82" s="24" t="s">
        <v>5</v>
      </c>
      <c r="B82" s="25">
        <v>10</v>
      </c>
      <c r="C82" s="6">
        <f>$F$10</f>
        <v>70</v>
      </c>
      <c r="D82" s="6">
        <f>$F$11</f>
        <v>50</v>
      </c>
      <c r="E82" s="314">
        <f>$F$12</f>
        <v>0</v>
      </c>
      <c r="F82" s="5">
        <f>C82+D82+E82</f>
        <v>120</v>
      </c>
      <c r="G82" s="5">
        <v>7.0000000000000007E-2</v>
      </c>
      <c r="H82" s="5">
        <f>B82*F82*G82</f>
        <v>84.000000000000014</v>
      </c>
      <c r="I82" s="189">
        <f>(E126*1.2^($G$19+1))*(1-$E$20)</f>
        <v>554652.77668510901</v>
      </c>
      <c r="J82" s="10">
        <f>I82/H82</f>
        <v>6603.0092462512966</v>
      </c>
      <c r="K82" s="10">
        <f>J82*10/60/24</f>
        <v>45.854230876745113</v>
      </c>
      <c r="L82" s="116"/>
      <c r="M82" s="532"/>
      <c r="N82" s="529"/>
      <c r="O82" s="529"/>
      <c r="P82" s="533"/>
      <c r="Q82" s="26"/>
      <c r="V82" s="528" t="s">
        <v>709</v>
      </c>
      <c r="W82" s="528" t="s">
        <v>710</v>
      </c>
    </row>
    <row r="83" spans="1:23" hidden="1">
      <c r="A83" s="24" t="s">
        <v>6</v>
      </c>
      <c r="B83" s="25">
        <v>9</v>
      </c>
      <c r="C83" s="6">
        <f>$G$10</f>
        <v>60</v>
      </c>
      <c r="D83" s="6">
        <f>$G$11</f>
        <v>70</v>
      </c>
      <c r="E83" s="314">
        <f>$G$12</f>
        <v>0</v>
      </c>
      <c r="F83" s="5">
        <f>C83+D83+E83</f>
        <v>130</v>
      </c>
      <c r="G83" s="5">
        <v>7.0000000000000007E-2</v>
      </c>
      <c r="H83" s="5">
        <f>B83*F83*G83</f>
        <v>81.900000000000006</v>
      </c>
      <c r="I83" s="189">
        <f>(F126*1.2^($G$19+1))*(1-$E$20)</f>
        <v>310605.55494366103</v>
      </c>
      <c r="J83" s="10">
        <f>I83/H83</f>
        <v>3792.4976183597191</v>
      </c>
      <c r="K83" s="10">
        <f>J83*10/60/24</f>
        <v>26.336789016386934</v>
      </c>
      <c r="L83" s="116"/>
      <c r="M83" s="532"/>
      <c r="N83" s="529"/>
      <c r="O83" s="529"/>
      <c r="P83" s="533"/>
      <c r="Q83" s="26"/>
      <c r="V83" s="528"/>
      <c r="W83" s="528"/>
    </row>
    <row r="84" spans="1:23" ht="15.75" hidden="1" thickBot="1">
      <c r="A84" s="124"/>
      <c r="B84" s="106"/>
      <c r="C84" s="106"/>
      <c r="D84" s="106"/>
      <c r="E84" s="106"/>
      <c r="F84" s="106"/>
      <c r="G84" s="106"/>
      <c r="H84" s="106"/>
      <c r="I84" s="106"/>
      <c r="J84" s="125"/>
      <c r="K84" s="125"/>
      <c r="L84" s="125"/>
      <c r="M84" s="125"/>
      <c r="N84" s="125"/>
      <c r="O84" s="125"/>
      <c r="P84" s="125"/>
      <c r="Q84" s="54"/>
      <c r="U84" t="s">
        <v>59</v>
      </c>
      <c r="V84" s="528"/>
      <c r="W84" s="528"/>
    </row>
    <row r="85" spans="1:23" hidden="1">
      <c r="T85" s="75" t="s">
        <v>488</v>
      </c>
      <c r="U85" s="75">
        <f>U17</f>
        <v>1</v>
      </c>
      <c r="V85">
        <v>10</v>
      </c>
      <c r="W85">
        <f>U85*V85</f>
        <v>10</v>
      </c>
    </row>
    <row r="86" spans="1:23" hidden="1">
      <c r="T86" s="75" t="s">
        <v>707</v>
      </c>
      <c r="U86">
        <f>U18</f>
        <v>36</v>
      </c>
      <c r="V86">
        <v>1</v>
      </c>
      <c r="W86">
        <f>U86*V86</f>
        <v>36</v>
      </c>
    </row>
    <row r="87" spans="1:23" hidden="1">
      <c r="V87" s="213" t="s">
        <v>639</v>
      </c>
      <c r="W87">
        <f>SUM(W85:W86)</f>
        <v>46</v>
      </c>
    </row>
    <row r="88" spans="1:23" ht="15.75" hidden="1" thickBot="1">
      <c r="T88" s="76" t="s">
        <v>708</v>
      </c>
      <c r="U88" s="297">
        <f>100/(100-$W$87)</f>
        <v>1.8518518518518519</v>
      </c>
    </row>
    <row r="89" spans="1:23" hidden="1">
      <c r="A89" s="117"/>
      <c r="B89" s="118"/>
      <c r="C89" s="118"/>
      <c r="D89" s="118"/>
      <c r="E89" s="118"/>
      <c r="F89" s="118"/>
      <c r="G89" s="118"/>
      <c r="H89" s="118"/>
      <c r="I89" s="118"/>
      <c r="J89" s="119"/>
      <c r="K89" s="119"/>
      <c r="L89" s="119"/>
      <c r="M89" s="119"/>
      <c r="N89" s="119"/>
      <c r="O89" s="119"/>
      <c r="P89" s="119"/>
      <c r="Q89" s="42"/>
    </row>
    <row r="90" spans="1:23" hidden="1">
      <c r="A90" s="24" t="s">
        <v>468</v>
      </c>
      <c r="B90" s="25"/>
      <c r="C90" s="25"/>
      <c r="D90" s="25"/>
      <c r="E90" s="25"/>
      <c r="F90" s="25"/>
      <c r="G90" s="25"/>
      <c r="H90" s="25"/>
      <c r="I90" s="25"/>
      <c r="J90" s="116"/>
      <c r="K90" s="116"/>
      <c r="L90" s="116"/>
      <c r="M90" s="116"/>
      <c r="N90" s="116"/>
      <c r="O90" s="116"/>
      <c r="P90" s="116"/>
      <c r="Q90" s="26"/>
    </row>
    <row r="91" spans="1:23" hidden="1">
      <c r="A91" s="24"/>
      <c r="B91" s="25"/>
      <c r="C91" s="25"/>
      <c r="D91" s="25"/>
      <c r="E91" s="25"/>
      <c r="F91" s="25"/>
      <c r="G91" s="25"/>
      <c r="H91" s="25"/>
      <c r="I91" s="25"/>
      <c r="J91" s="116"/>
      <c r="K91" s="116"/>
      <c r="L91" s="116"/>
      <c r="M91" s="116"/>
      <c r="N91" s="116"/>
      <c r="O91" s="116"/>
      <c r="P91" s="116"/>
      <c r="Q91" s="26"/>
    </row>
    <row r="92" spans="1:23" hidden="1">
      <c r="A92" s="24"/>
      <c r="B92" s="25"/>
      <c r="C92" s="25"/>
      <c r="D92" s="25"/>
      <c r="E92" s="25"/>
      <c r="F92" s="25"/>
      <c r="G92" s="25"/>
      <c r="H92" s="25"/>
      <c r="I92" s="25"/>
      <c r="J92" s="116"/>
      <c r="K92" s="116"/>
      <c r="L92" s="116"/>
      <c r="M92" s="116"/>
      <c r="N92" s="116"/>
      <c r="O92" s="116"/>
      <c r="P92" s="116"/>
      <c r="Q92" s="26"/>
    </row>
    <row r="93" spans="1:23" hidden="1">
      <c r="A93" s="24"/>
      <c r="B93" s="5" t="s">
        <v>456</v>
      </c>
      <c r="C93" s="5" t="s">
        <v>12</v>
      </c>
      <c r="D93" s="5" t="s">
        <v>17</v>
      </c>
      <c r="E93" s="5" t="s">
        <v>18</v>
      </c>
      <c r="F93" s="5" t="s">
        <v>19</v>
      </c>
      <c r="G93" s="5" t="s">
        <v>20</v>
      </c>
      <c r="H93" s="5" t="s">
        <v>714</v>
      </c>
      <c r="I93" s="25"/>
      <c r="J93" s="116"/>
      <c r="K93" s="116"/>
      <c r="L93" s="116"/>
      <c r="M93" s="116"/>
      <c r="N93" s="116"/>
      <c r="O93" s="116"/>
      <c r="P93" s="116"/>
      <c r="Q93" s="26"/>
    </row>
    <row r="94" spans="1:23" hidden="1">
      <c r="A94" s="24"/>
      <c r="B94" s="6">
        <v>7.0000000000000007E-2</v>
      </c>
      <c r="C94" s="6">
        <v>7.0000000000000007E-2</v>
      </c>
      <c r="D94" s="6">
        <v>7.0000000000000007E-2</v>
      </c>
      <c r="E94" s="6">
        <v>7.0000000000000007E-2</v>
      </c>
      <c r="F94" s="6">
        <v>0.02</v>
      </c>
      <c r="G94" s="6">
        <v>7.0000000000000007E-2</v>
      </c>
      <c r="H94" s="6">
        <v>7.0000000000000007E-2</v>
      </c>
      <c r="I94" s="76"/>
      <c r="J94" s="116"/>
      <c r="K94" s="116"/>
      <c r="L94" s="116"/>
      <c r="M94" s="116"/>
      <c r="N94" s="116"/>
      <c r="O94" s="116"/>
      <c r="P94" s="116"/>
      <c r="Q94" s="26"/>
    </row>
    <row r="95" spans="1:23" hidden="1">
      <c r="A95" s="24"/>
      <c r="B95" s="189">
        <f>G19</f>
        <v>15</v>
      </c>
      <c r="C95" s="6">
        <f>C16</f>
        <v>35</v>
      </c>
      <c r="D95" s="6">
        <f>D16</f>
        <v>31</v>
      </c>
      <c r="E95" s="6">
        <f>E16</f>
        <v>36</v>
      </c>
      <c r="F95" s="6">
        <f>G16</f>
        <v>36</v>
      </c>
      <c r="G95" s="6">
        <f>H16</f>
        <v>34</v>
      </c>
      <c r="H95" s="6">
        <f>F16</f>
        <v>34</v>
      </c>
      <c r="I95" s="76"/>
      <c r="J95" s="116"/>
      <c r="K95" s="116"/>
      <c r="L95" s="116"/>
      <c r="M95" s="116"/>
      <c r="N95" s="116"/>
      <c r="O95" s="116"/>
      <c r="P95" s="116"/>
      <c r="Q95" s="26"/>
    </row>
    <row r="96" spans="1:23" hidden="1">
      <c r="A96" s="24"/>
      <c r="B96" s="25"/>
      <c r="C96" s="25"/>
      <c r="D96" s="25"/>
      <c r="E96" s="25"/>
      <c r="F96" s="25"/>
      <c r="G96" s="25"/>
      <c r="H96" s="25"/>
      <c r="I96" s="116"/>
      <c r="J96" s="116"/>
      <c r="K96" s="116"/>
      <c r="L96" s="116"/>
      <c r="M96" s="116"/>
      <c r="N96" s="116"/>
      <c r="O96" s="116"/>
      <c r="P96" s="116"/>
      <c r="Q96" s="26"/>
    </row>
    <row r="97" spans="1:17" hidden="1">
      <c r="A97" s="24"/>
      <c r="B97" s="25"/>
      <c r="C97" s="25"/>
      <c r="D97" s="25"/>
      <c r="E97" s="25"/>
      <c r="F97" s="25"/>
      <c r="G97" s="25"/>
      <c r="H97" s="25"/>
      <c r="I97" s="116"/>
      <c r="J97" s="116"/>
      <c r="K97" s="116"/>
      <c r="L97" s="116"/>
      <c r="M97" s="116"/>
      <c r="N97" s="116"/>
      <c r="O97" s="116"/>
      <c r="P97" s="116"/>
      <c r="Q97" s="26"/>
    </row>
    <row r="98" spans="1:17" hidden="1">
      <c r="A98" s="120" t="s">
        <v>705</v>
      </c>
      <c r="B98" s="25"/>
      <c r="C98" s="25"/>
      <c r="D98" s="25"/>
      <c r="E98" s="25"/>
      <c r="F98" s="25"/>
      <c r="G98" s="25"/>
      <c r="H98" s="25"/>
      <c r="I98" s="116"/>
      <c r="J98" s="116"/>
      <c r="K98" s="116"/>
      <c r="L98" s="116"/>
      <c r="M98" s="111" t="s">
        <v>22</v>
      </c>
      <c r="N98" s="111"/>
      <c r="O98" s="111"/>
      <c r="P98" s="111"/>
      <c r="Q98" s="121"/>
    </row>
    <row r="99" spans="1:17" hidden="1">
      <c r="A99" s="122" t="s">
        <v>1</v>
      </c>
      <c r="B99" s="3" t="s">
        <v>7</v>
      </c>
      <c r="C99" s="25"/>
      <c r="D99" s="25"/>
      <c r="E99" s="3" t="s">
        <v>454</v>
      </c>
      <c r="F99" s="3" t="s">
        <v>457</v>
      </c>
      <c r="G99" s="3" t="s">
        <v>455</v>
      </c>
      <c r="H99" s="3" t="s">
        <v>14</v>
      </c>
      <c r="I99" s="3" t="s">
        <v>13</v>
      </c>
      <c r="J99" s="9" t="s">
        <v>15</v>
      </c>
      <c r="K99" s="9" t="s">
        <v>16</v>
      </c>
      <c r="L99" s="116"/>
      <c r="M99" s="9" t="s">
        <v>23</v>
      </c>
      <c r="N99" s="9" t="s">
        <v>24</v>
      </c>
      <c r="O99" s="9" t="s">
        <v>15</v>
      </c>
      <c r="P99" s="9" t="s">
        <v>25</v>
      </c>
      <c r="Q99" s="26"/>
    </row>
    <row r="100" spans="1:17" hidden="1">
      <c r="A100" s="123" t="s">
        <v>2</v>
      </c>
      <c r="B100" s="6">
        <v>10</v>
      </c>
      <c r="C100" s="25"/>
      <c r="D100" s="25"/>
      <c r="E100" s="6">
        <f>N15</f>
        <v>5</v>
      </c>
      <c r="F100" s="6">
        <f>IF(J21=1,0.4,IF(J21=6,0.25,0))</f>
        <v>0.25</v>
      </c>
      <c r="G100" s="6">
        <f>$C$95*$C$94+$F$95*$F$94+$B$94*$B$95+F100</f>
        <v>4.47</v>
      </c>
      <c r="H100" s="5">
        <f>E100*B100*(1+G100)</f>
        <v>273.5</v>
      </c>
      <c r="I100" s="189">
        <f>$B$127*1.8^($J$16+1)</f>
        <v>2914548.7463182644</v>
      </c>
      <c r="J100" s="10">
        <f>I100/H100</f>
        <v>10656.485361309924</v>
      </c>
      <c r="K100" s="10">
        <f>J100*10/60/24</f>
        <v>74.003370564652258</v>
      </c>
      <c r="L100" s="116"/>
      <c r="M100" s="532">
        <f>I100*$C$7+$D$7*I101+$E$7*I102+$F$7*I103+$G$7*I104</f>
        <v>25306783.885219298</v>
      </c>
      <c r="N100" s="536">
        <f>$C$7*H100+$D$7*H101+$E$7*H102+$F$7*H103+$G$7*H104</f>
        <v>2554.1985</v>
      </c>
      <c r="O100" s="536">
        <f>M100/N100</f>
        <v>9907.9158825045506</v>
      </c>
      <c r="P100" s="533">
        <f>O100*10/60/24</f>
        <v>68.804971406281609</v>
      </c>
      <c r="Q100" s="26"/>
    </row>
    <row r="101" spans="1:17" hidden="1">
      <c r="A101" s="123" t="s">
        <v>3</v>
      </c>
      <c r="B101" s="6">
        <v>15</v>
      </c>
      <c r="C101" s="25"/>
      <c r="D101" s="25"/>
      <c r="E101" s="6">
        <f>N16</f>
        <v>0</v>
      </c>
      <c r="F101" s="6">
        <f>IF(J21=2,0.6,IF(J21=6,0.25,0))</f>
        <v>0.25</v>
      </c>
      <c r="G101" s="6">
        <f>$B$94*$B$95+$C$94*$C$95+$D$94*$D$95+$F$94*$F$95+F101</f>
        <v>6.64</v>
      </c>
      <c r="H101" s="5">
        <f>E101*B101*(1+G101)</f>
        <v>0</v>
      </c>
      <c r="I101" s="189">
        <f>$C$127*1.8^($J$16+1)</f>
        <v>850076.71767616039</v>
      </c>
      <c r="J101" s="10" t="e">
        <f>I101/H101</f>
        <v>#DIV/0!</v>
      </c>
      <c r="K101" s="10" t="e">
        <f>J101*10/60/24</f>
        <v>#DIV/0!</v>
      </c>
      <c r="L101" s="116"/>
      <c r="M101" s="532"/>
      <c r="N101" s="537"/>
      <c r="O101" s="537"/>
      <c r="P101" s="533"/>
      <c r="Q101" s="26"/>
    </row>
    <row r="102" spans="1:17" hidden="1">
      <c r="A102" s="123" t="s">
        <v>4</v>
      </c>
      <c r="B102" s="6">
        <v>12</v>
      </c>
      <c r="C102" s="25"/>
      <c r="D102" s="25"/>
      <c r="E102" s="6">
        <f>N17</f>
        <v>5</v>
      </c>
      <c r="F102" s="6">
        <f>IF(J21=3,0.4,IF(J21=6,0.25,0))</f>
        <v>0.25</v>
      </c>
      <c r="G102" s="6">
        <f>$B$94*$B$95+$E$94*$E$95+$F$94*$F$95+F102</f>
        <v>4.54</v>
      </c>
      <c r="H102" s="5">
        <f>E102*B102*(1+G102)</f>
        <v>332.4</v>
      </c>
      <c r="I102" s="189">
        <f>$D$127*1.8^($J$16+1)</f>
        <v>3521746.401801236</v>
      </c>
      <c r="J102" s="10">
        <f>I102/H102</f>
        <v>10594.904939233562</v>
      </c>
      <c r="K102" s="10">
        <f>J102*10/60/24</f>
        <v>73.575728744677505</v>
      </c>
      <c r="L102" s="116"/>
      <c r="M102" s="532"/>
      <c r="N102" s="537"/>
      <c r="O102" s="537"/>
      <c r="P102" s="533"/>
      <c r="Q102" s="26"/>
    </row>
    <row r="103" spans="1:17" hidden="1">
      <c r="A103" s="123" t="s">
        <v>5</v>
      </c>
      <c r="B103" s="6">
        <v>10</v>
      </c>
      <c r="C103" s="25"/>
      <c r="D103" s="25"/>
      <c r="E103" s="6">
        <f>N18</f>
        <v>5</v>
      </c>
      <c r="F103" s="6">
        <f>IF(J21=4,0.4,IF(J21=6,0.25,0))</f>
        <v>0.25</v>
      </c>
      <c r="G103" s="6">
        <f>$B$94*$B$95+$F$94*$F$95+$G$94*$G$95+F103</f>
        <v>4.4000000000000004</v>
      </c>
      <c r="H103" s="5">
        <f>E103*B103*(1+G103)</f>
        <v>270</v>
      </c>
      <c r="I103" s="189">
        <f>$E$127*1.8^($J$16+1)</f>
        <v>2550230.1530284812</v>
      </c>
      <c r="J103" s="10">
        <f>I103/H103</f>
        <v>9445.2968630684481</v>
      </c>
      <c r="K103" s="10">
        <f>J103*10/60/24</f>
        <v>65.59233932686422</v>
      </c>
      <c r="L103" s="116"/>
      <c r="M103" s="532"/>
      <c r="N103" s="537"/>
      <c r="O103" s="537"/>
      <c r="P103" s="533"/>
      <c r="Q103" s="26"/>
    </row>
    <row r="104" spans="1:17" hidden="1">
      <c r="A104" s="123" t="s">
        <v>6</v>
      </c>
      <c r="B104" s="6">
        <v>9</v>
      </c>
      <c r="C104" s="25"/>
      <c r="D104" s="25"/>
      <c r="E104" s="6">
        <f>N19</f>
        <v>5</v>
      </c>
      <c r="F104" s="6">
        <f>IF(J21=5,0.4,IF(J21=6,0.25,0))</f>
        <v>0.25</v>
      </c>
      <c r="G104" s="6">
        <f>$B$94*$B$95+$C$94*$C$95+$F$94*$F$95+F104</f>
        <v>4.47</v>
      </c>
      <c r="H104" s="5">
        <f>E104*B104*(1+G104)</f>
        <v>246.14999999999998</v>
      </c>
      <c r="I104" s="189">
        <f>$F$127*1.8^($J$16+1)</f>
        <v>1578713.9042557266</v>
      </c>
      <c r="J104" s="10">
        <f>I104/H104</f>
        <v>6413.6254489365292</v>
      </c>
      <c r="K104" s="10">
        <f>J104*10/60/24</f>
        <v>44.539065617614789</v>
      </c>
      <c r="L104" s="116"/>
      <c r="M104" s="532"/>
      <c r="N104" s="538"/>
      <c r="O104" s="538"/>
      <c r="P104" s="533"/>
      <c r="Q104" s="26"/>
    </row>
    <row r="105" spans="1:17" ht="15.75" hidden="1" thickBot="1">
      <c r="A105" s="124"/>
      <c r="B105" s="106"/>
      <c r="C105" s="106"/>
      <c r="D105" s="106"/>
      <c r="E105" s="106"/>
      <c r="F105" s="106"/>
      <c r="G105" s="106"/>
      <c r="H105" s="106"/>
      <c r="I105" s="106"/>
      <c r="J105" s="125"/>
      <c r="K105" s="125"/>
      <c r="L105" s="125"/>
      <c r="M105" s="125"/>
      <c r="N105" s="125"/>
      <c r="O105" s="125"/>
      <c r="P105" s="125"/>
      <c r="Q105" s="54"/>
    </row>
    <row r="106" spans="1:17" hidden="1">
      <c r="A106" s="25"/>
      <c r="B106" s="25"/>
      <c r="C106" s="25"/>
      <c r="D106" s="25"/>
      <c r="E106" s="25"/>
      <c r="F106" s="25"/>
      <c r="G106" s="25"/>
      <c r="H106" s="25"/>
      <c r="I106" s="25"/>
      <c r="J106" s="116"/>
      <c r="K106" s="116"/>
      <c r="L106" s="116"/>
      <c r="M106" s="116"/>
      <c r="N106" s="116"/>
      <c r="O106" s="116"/>
      <c r="P106" s="116"/>
      <c r="Q106" s="25"/>
    </row>
    <row r="107" spans="1:17" hidden="1">
      <c r="A107" s="120" t="s">
        <v>741</v>
      </c>
      <c r="B107" s="25"/>
      <c r="C107" s="25"/>
      <c r="D107" s="25"/>
      <c r="E107" s="25"/>
      <c r="F107" s="25"/>
      <c r="G107" s="25"/>
      <c r="H107" s="25"/>
      <c r="I107" s="116"/>
      <c r="J107" s="116"/>
      <c r="K107" s="116"/>
      <c r="L107" s="116"/>
      <c r="M107" s="111" t="s">
        <v>22</v>
      </c>
      <c r="N107" s="111"/>
      <c r="O107" s="111"/>
      <c r="P107" s="111"/>
      <c r="Q107" s="25"/>
    </row>
    <row r="108" spans="1:17" hidden="1">
      <c r="A108" s="122" t="s">
        <v>1</v>
      </c>
      <c r="B108" s="3" t="s">
        <v>7</v>
      </c>
      <c r="C108" s="25"/>
      <c r="D108" s="25"/>
      <c r="E108" s="3" t="s">
        <v>454</v>
      </c>
      <c r="F108" s="3" t="s">
        <v>457</v>
      </c>
      <c r="G108" s="3" t="s">
        <v>455</v>
      </c>
      <c r="H108" s="3" t="s">
        <v>14</v>
      </c>
      <c r="I108" s="3" t="s">
        <v>13</v>
      </c>
      <c r="J108" s="9" t="s">
        <v>15</v>
      </c>
      <c r="K108" s="9" t="s">
        <v>16</v>
      </c>
      <c r="L108" s="116"/>
      <c r="M108" s="9" t="s">
        <v>23</v>
      </c>
      <c r="N108" s="9" t="s">
        <v>24</v>
      </c>
      <c r="O108" s="9" t="s">
        <v>15</v>
      </c>
      <c r="P108" s="9" t="s">
        <v>25</v>
      </c>
      <c r="Q108" s="25"/>
    </row>
    <row r="109" spans="1:17" hidden="1">
      <c r="A109" s="123" t="s">
        <v>2</v>
      </c>
      <c r="B109" s="6">
        <v>10</v>
      </c>
      <c r="C109" s="25"/>
      <c r="D109" s="25"/>
      <c r="E109" s="6">
        <f>O15</f>
        <v>6</v>
      </c>
      <c r="F109" s="6">
        <f>IF(J22=1,0.4,IF(J22=6,0.25,0))</f>
        <v>0.25</v>
      </c>
      <c r="G109" s="6">
        <f>$C$95*$C$94+$F$95*$F$94+$B$94*$B$95+F109</f>
        <v>4.47</v>
      </c>
      <c r="H109" s="5">
        <f>E109*B109*(1+G109)</f>
        <v>328.2</v>
      </c>
      <c r="I109" s="189">
        <f>$B$127*1.8^($J$17+1)</f>
        <v>2914548.7463182644</v>
      </c>
      <c r="J109" s="10">
        <f>I109/H109</f>
        <v>8880.4044677582715</v>
      </c>
      <c r="K109" s="10">
        <f>J109*10/60/24</f>
        <v>61.669475470543553</v>
      </c>
      <c r="L109" s="116"/>
      <c r="M109" s="532">
        <f>I109*$C$7+$D$7*I110+$E$7*I111+$F$7*I112+$G$7*I113</f>
        <v>25306783.885219298</v>
      </c>
      <c r="N109" s="536">
        <f>$C$7*H109+$D$7*H110+$E$7*H111+$F$7*H112+$G$7*H113</f>
        <v>2585.3949000000002</v>
      </c>
      <c r="O109" s="536">
        <f>M109/N109</f>
        <v>9788.3630408721292</v>
      </c>
      <c r="P109" s="533">
        <f>O109*10/60/24</f>
        <v>67.974743339389789</v>
      </c>
      <c r="Q109" s="25"/>
    </row>
    <row r="110" spans="1:17" hidden="1">
      <c r="A110" s="123" t="s">
        <v>3</v>
      </c>
      <c r="B110" s="6">
        <v>15</v>
      </c>
      <c r="C110" s="25"/>
      <c r="D110" s="25"/>
      <c r="E110" s="6">
        <f>O16</f>
        <v>0</v>
      </c>
      <c r="F110" s="6">
        <f>IF(J22=2,0.6,IF(J22=6,0.25,0))</f>
        <v>0.25</v>
      </c>
      <c r="G110" s="6">
        <f>$B$94*$B$95+$C$94*$C$95+$D$94*$D$95+$F$94*$F$95+F110</f>
        <v>6.64</v>
      </c>
      <c r="H110" s="5">
        <f>E110*B110*(1+G110)</f>
        <v>0</v>
      </c>
      <c r="I110" s="189">
        <f>$C$127*1.8^($J$17+1)</f>
        <v>850076.71767616039</v>
      </c>
      <c r="J110" s="10" t="e">
        <f>I110/H110</f>
        <v>#DIV/0!</v>
      </c>
      <c r="K110" s="10" t="e">
        <f>J110*10/60/24</f>
        <v>#DIV/0!</v>
      </c>
      <c r="L110" s="116"/>
      <c r="M110" s="532"/>
      <c r="N110" s="537"/>
      <c r="O110" s="537"/>
      <c r="P110" s="533"/>
    </row>
    <row r="111" spans="1:17" hidden="1">
      <c r="A111" s="123" t="s">
        <v>4</v>
      </c>
      <c r="B111" s="6">
        <v>12</v>
      </c>
      <c r="C111" s="25"/>
      <c r="D111" s="25"/>
      <c r="E111" s="6">
        <f>O17</f>
        <v>7</v>
      </c>
      <c r="F111" s="6">
        <f>IF(J22=3,0.4,IF(J22=6,0.25,0))</f>
        <v>0.25</v>
      </c>
      <c r="G111" s="6">
        <f>$B$94*$B$95+$E$94*$E$95+$F$94*$F$95+F111</f>
        <v>4.54</v>
      </c>
      <c r="H111" s="5">
        <f>E111*B111*(1+G111)</f>
        <v>465.36</v>
      </c>
      <c r="I111" s="189">
        <f>$D$127*1.8^($J$17+1)</f>
        <v>3521746.401801236</v>
      </c>
      <c r="J111" s="10">
        <f>I111/H111</f>
        <v>7567.7892423096864</v>
      </c>
      <c r="K111" s="10">
        <f>J111*10/60/24</f>
        <v>52.554091960483937</v>
      </c>
      <c r="L111" s="116"/>
      <c r="M111" s="532"/>
      <c r="N111" s="537"/>
      <c r="O111" s="537"/>
      <c r="P111" s="533"/>
    </row>
    <row r="112" spans="1:17" hidden="1">
      <c r="A112" s="123" t="s">
        <v>5</v>
      </c>
      <c r="B112" s="6">
        <v>10</v>
      </c>
      <c r="C112" s="25"/>
      <c r="D112" s="25"/>
      <c r="E112" s="6">
        <f>O18</f>
        <v>0</v>
      </c>
      <c r="F112" s="6">
        <f>IF(J22=4,0.4,IF(J22=6,0.25,0))</f>
        <v>0.25</v>
      </c>
      <c r="G112" s="6">
        <f>$B$94*$B$95+$F$94*$F$95+$G$94*$G$95+F112</f>
        <v>4.4000000000000004</v>
      </c>
      <c r="H112" s="5">
        <f>E112*B112*(1+G112)</f>
        <v>0</v>
      </c>
      <c r="I112" s="189">
        <f>$E$127*1.8^($J$17+1)</f>
        <v>2550230.1530284812</v>
      </c>
      <c r="J112" s="10" t="e">
        <f>I112/H112</f>
        <v>#DIV/0!</v>
      </c>
      <c r="K112" s="10" t="e">
        <f>J112*10/60/24</f>
        <v>#DIV/0!</v>
      </c>
      <c r="L112" s="116"/>
      <c r="M112" s="532"/>
      <c r="N112" s="537"/>
      <c r="O112" s="537"/>
      <c r="P112" s="533"/>
    </row>
    <row r="113" spans="1:16" hidden="1">
      <c r="A113" s="123" t="s">
        <v>6</v>
      </c>
      <c r="B113" s="6">
        <v>9</v>
      </c>
      <c r="C113" s="25"/>
      <c r="D113" s="25"/>
      <c r="E113" s="6">
        <f>O19</f>
        <v>7</v>
      </c>
      <c r="F113" s="6">
        <f>IF(J22=5,0.4,IF(J22=6,0.25,0))</f>
        <v>0.25</v>
      </c>
      <c r="G113" s="6">
        <f>$B$94*$B$95+$C$94*$C$95+$F$94*$F$95+F113</f>
        <v>4.47</v>
      </c>
      <c r="H113" s="5">
        <f>E113*B113*(1+G113)</f>
        <v>344.60999999999996</v>
      </c>
      <c r="I113" s="189">
        <f>$F$127*1.8^($J$17+1)</f>
        <v>1578713.9042557266</v>
      </c>
      <c r="J113" s="10">
        <f>I113/H113</f>
        <v>4581.1610349546645</v>
      </c>
      <c r="K113" s="10">
        <f>J113*10/60/24</f>
        <v>31.81361829829628</v>
      </c>
      <c r="L113" s="116"/>
      <c r="M113" s="532"/>
      <c r="N113" s="538"/>
      <c r="O113" s="538"/>
      <c r="P113" s="533"/>
    </row>
    <row r="114" spans="1:16" hidden="1">
      <c r="A114" s="76"/>
      <c r="B114" s="76"/>
      <c r="C114" s="25"/>
      <c r="D114" s="25"/>
      <c r="E114" s="76"/>
      <c r="F114" s="76"/>
      <c r="G114" s="76"/>
      <c r="H114" s="25"/>
      <c r="I114" s="190"/>
      <c r="J114" s="116"/>
      <c r="K114" s="116"/>
      <c r="L114" s="116"/>
      <c r="M114" s="291"/>
      <c r="N114" s="292"/>
      <c r="O114" s="292"/>
      <c r="P114" s="293"/>
    </row>
    <row r="115" spans="1:16" hidden="1">
      <c r="A115" s="76"/>
      <c r="B115" s="76"/>
      <c r="C115" s="25"/>
      <c r="D115" s="25"/>
      <c r="E115" s="76"/>
      <c r="F115" s="76"/>
      <c r="G115" s="76"/>
      <c r="H115" s="25"/>
      <c r="I115" s="190"/>
      <c r="J115" s="116"/>
      <c r="K115" s="116"/>
      <c r="L115" s="116"/>
      <c r="M115" s="291"/>
      <c r="N115" s="292"/>
      <c r="O115" s="292"/>
      <c r="P115" s="293"/>
    </row>
    <row r="116" spans="1:16" hidden="1">
      <c r="A116" s="76"/>
      <c r="B116" s="76"/>
      <c r="C116" s="25"/>
      <c r="D116" s="25"/>
      <c r="E116" s="76"/>
      <c r="F116" s="76"/>
      <c r="G116" s="76"/>
      <c r="H116" s="25"/>
      <c r="I116" s="190"/>
      <c r="J116" s="116"/>
      <c r="K116" s="116"/>
      <c r="L116" s="116"/>
      <c r="M116" s="291"/>
      <c r="N116" s="292"/>
      <c r="O116" s="292"/>
      <c r="P116" s="293"/>
    </row>
    <row r="117" spans="1:16" hidden="1">
      <c r="A117" s="76"/>
      <c r="B117" s="76"/>
      <c r="C117" s="25"/>
      <c r="D117" s="25"/>
      <c r="E117" s="76"/>
      <c r="F117" s="76"/>
      <c r="G117" s="76"/>
      <c r="H117" s="25"/>
      <c r="I117" s="190"/>
      <c r="J117" s="116"/>
      <c r="K117" s="116"/>
      <c r="L117" s="116"/>
      <c r="M117" s="291"/>
      <c r="N117" s="292"/>
      <c r="O117" s="292"/>
      <c r="P117" s="293"/>
    </row>
    <row r="118" spans="1:16" hidden="1">
      <c r="I118" t="s">
        <v>422</v>
      </c>
      <c r="J118" s="8" t="s">
        <v>423</v>
      </c>
    </row>
    <row r="119" spans="1:16" ht="30" hidden="1">
      <c r="A119" s="181" t="s">
        <v>480</v>
      </c>
      <c r="B119" t="s">
        <v>618</v>
      </c>
      <c r="C119" t="s">
        <v>619</v>
      </c>
      <c r="D119" t="s">
        <v>620</v>
      </c>
      <c r="E119" t="s">
        <v>621</v>
      </c>
      <c r="F119" t="s">
        <v>622</v>
      </c>
      <c r="H119" s="91" t="s">
        <v>59</v>
      </c>
      <c r="I119" s="95" t="s">
        <v>424</v>
      </c>
      <c r="J119" s="95" t="s">
        <v>424</v>
      </c>
    </row>
    <row r="120" spans="1:16" hidden="1">
      <c r="A120" t="s">
        <v>12</v>
      </c>
      <c r="B120">
        <v>760</v>
      </c>
      <c r="C120">
        <v>490</v>
      </c>
      <c r="D120">
        <v>1160</v>
      </c>
      <c r="E120">
        <v>2120</v>
      </c>
      <c r="F120">
        <v>470</v>
      </c>
      <c r="I120" s="90"/>
      <c r="J120" s="90"/>
      <c r="K120" s="190"/>
      <c r="L120" s="190"/>
      <c r="M120" s="190"/>
      <c r="N120" s="190"/>
    </row>
    <row r="121" spans="1:16" hidden="1">
      <c r="A121" t="s">
        <v>17</v>
      </c>
      <c r="B121">
        <v>1040</v>
      </c>
      <c r="C121">
        <v>940</v>
      </c>
      <c r="D121">
        <v>810</v>
      </c>
      <c r="E121">
        <v>1420</v>
      </c>
      <c r="F121">
        <v>790</v>
      </c>
      <c r="H121">
        <v>1</v>
      </c>
      <c r="I121" s="96">
        <f>220/(H121+17)</f>
        <v>12.222222222222221</v>
      </c>
      <c r="J121" s="96">
        <f>240/(H121+19)</f>
        <v>12</v>
      </c>
      <c r="K121" s="190"/>
      <c r="L121" s="190"/>
      <c r="M121" s="190"/>
      <c r="N121" s="190"/>
    </row>
    <row r="122" spans="1:16" hidden="1">
      <c r="A122" t="s">
        <v>18</v>
      </c>
      <c r="B122">
        <v>750</v>
      </c>
      <c r="C122">
        <v>610</v>
      </c>
      <c r="D122">
        <v>1450</v>
      </c>
      <c r="E122">
        <v>1780</v>
      </c>
      <c r="F122">
        <v>410</v>
      </c>
      <c r="H122">
        <v>2</v>
      </c>
      <c r="I122" s="96">
        <f t="shared" ref="I122:I160" si="1">220/(H122+17)</f>
        <v>11.578947368421053</v>
      </c>
      <c r="J122" s="96">
        <f t="shared" ref="J122:J160" si="2">240/(H122+19)</f>
        <v>11.428571428571429</v>
      </c>
      <c r="K122" s="190"/>
      <c r="L122" s="190"/>
      <c r="M122" s="190"/>
      <c r="N122" s="190"/>
    </row>
    <row r="123" spans="1:16" hidden="1">
      <c r="A123" t="s">
        <v>19</v>
      </c>
      <c r="B123">
        <v>920</v>
      </c>
      <c r="C123">
        <v>1120</v>
      </c>
      <c r="D123">
        <v>1010</v>
      </c>
      <c r="E123">
        <v>970</v>
      </c>
      <c r="F123">
        <v>980</v>
      </c>
      <c r="H123">
        <v>3</v>
      </c>
      <c r="I123" s="96">
        <f t="shared" si="1"/>
        <v>11</v>
      </c>
      <c r="J123" s="96">
        <f t="shared" si="2"/>
        <v>10.909090909090908</v>
      </c>
      <c r="K123" s="190"/>
      <c r="L123" s="190"/>
      <c r="M123" s="190"/>
      <c r="N123" s="190"/>
    </row>
    <row r="124" spans="1:16" hidden="1">
      <c r="A124" t="s">
        <v>20</v>
      </c>
      <c r="B124">
        <v>640</v>
      </c>
      <c r="C124">
        <v>760</v>
      </c>
      <c r="D124">
        <v>1500</v>
      </c>
      <c r="E124">
        <v>1910</v>
      </c>
      <c r="F124">
        <v>190</v>
      </c>
      <c r="H124">
        <v>4</v>
      </c>
      <c r="I124" s="96">
        <f t="shared" si="1"/>
        <v>10.476190476190476</v>
      </c>
      <c r="J124" s="96">
        <f t="shared" si="2"/>
        <v>10.434782608695652</v>
      </c>
      <c r="K124" s="190"/>
      <c r="L124" s="190"/>
      <c r="M124" s="190"/>
      <c r="N124" s="190"/>
    </row>
    <row r="125" spans="1:16" hidden="1">
      <c r="A125" t="s">
        <v>714</v>
      </c>
      <c r="B125">
        <v>1220</v>
      </c>
      <c r="C125">
        <v>1270</v>
      </c>
      <c r="D125">
        <v>1610</v>
      </c>
      <c r="E125">
        <v>180</v>
      </c>
      <c r="F125">
        <v>720</v>
      </c>
      <c r="H125">
        <v>5</v>
      </c>
      <c r="I125" s="96">
        <f t="shared" si="1"/>
        <v>10</v>
      </c>
      <c r="J125" s="96">
        <f t="shared" si="2"/>
        <v>10</v>
      </c>
      <c r="K125" s="190"/>
      <c r="L125" s="190"/>
      <c r="M125" s="190"/>
      <c r="N125" s="190"/>
    </row>
    <row r="126" spans="1:16" hidden="1">
      <c r="A126" t="s">
        <v>456</v>
      </c>
      <c r="B126">
        <v>54000</v>
      </c>
      <c r="C126">
        <v>30000</v>
      </c>
      <c r="D126">
        <v>50000</v>
      </c>
      <c r="E126">
        <v>50000</v>
      </c>
      <c r="F126">
        <v>28000</v>
      </c>
      <c r="H126">
        <v>6</v>
      </c>
      <c r="I126" s="96">
        <f t="shared" si="1"/>
        <v>9.5652173913043477</v>
      </c>
      <c r="J126" s="96">
        <f t="shared" si="2"/>
        <v>9.6</v>
      </c>
    </row>
    <row r="127" spans="1:16" hidden="1">
      <c r="A127" t="s">
        <v>453</v>
      </c>
      <c r="B127">
        <v>240</v>
      </c>
      <c r="C127">
        <v>70</v>
      </c>
      <c r="D127">
        <v>290</v>
      </c>
      <c r="E127">
        <v>210</v>
      </c>
      <c r="F127">
        <v>130</v>
      </c>
      <c r="H127">
        <v>7</v>
      </c>
      <c r="I127" s="96">
        <f t="shared" si="1"/>
        <v>9.1666666666666661</v>
      </c>
      <c r="J127" s="96">
        <f t="shared" si="2"/>
        <v>9.2307692307692299</v>
      </c>
    </row>
    <row r="128" spans="1:16" hidden="1">
      <c r="H128">
        <v>8</v>
      </c>
      <c r="I128" s="96">
        <f t="shared" si="1"/>
        <v>8.8000000000000007</v>
      </c>
      <c r="J128" s="96">
        <f t="shared" si="2"/>
        <v>8.8888888888888893</v>
      </c>
    </row>
    <row r="129" spans="1:10" hidden="1">
      <c r="A129" t="s">
        <v>422</v>
      </c>
      <c r="B129">
        <v>1400</v>
      </c>
      <c r="C129">
        <v>1500</v>
      </c>
      <c r="D129">
        <v>2200</v>
      </c>
      <c r="E129">
        <v>200</v>
      </c>
      <c r="F129">
        <v>2900</v>
      </c>
      <c r="H129">
        <v>9</v>
      </c>
      <c r="I129" s="96">
        <f t="shared" si="1"/>
        <v>8.4615384615384617</v>
      </c>
      <c r="J129" s="96">
        <f t="shared" si="2"/>
        <v>8.5714285714285712</v>
      </c>
    </row>
    <row r="130" spans="1:10" hidden="1">
      <c r="A130" t="s">
        <v>423</v>
      </c>
      <c r="B130">
        <v>3300</v>
      </c>
      <c r="C130">
        <v>2800</v>
      </c>
      <c r="D130">
        <v>1100</v>
      </c>
      <c r="E130">
        <v>1500</v>
      </c>
      <c r="F130">
        <v>1300</v>
      </c>
      <c r="H130">
        <v>10</v>
      </c>
      <c r="I130" s="96">
        <f t="shared" si="1"/>
        <v>8.1481481481481488</v>
      </c>
      <c r="J130" s="96">
        <f t="shared" si="2"/>
        <v>8.2758620689655178</v>
      </c>
    </row>
    <row r="131" spans="1:10" hidden="1">
      <c r="H131">
        <v>11</v>
      </c>
      <c r="I131" s="96">
        <f t="shared" si="1"/>
        <v>7.8571428571428568</v>
      </c>
      <c r="J131" s="96">
        <f t="shared" si="2"/>
        <v>8</v>
      </c>
    </row>
    <row r="132" spans="1:10" hidden="1">
      <c r="H132">
        <v>12</v>
      </c>
      <c r="I132" s="96">
        <f t="shared" si="1"/>
        <v>7.5862068965517242</v>
      </c>
      <c r="J132" s="96">
        <f t="shared" si="2"/>
        <v>7.741935483870968</v>
      </c>
    </row>
    <row r="133" spans="1:10" hidden="1">
      <c r="H133">
        <v>13</v>
      </c>
      <c r="I133" s="96">
        <f t="shared" si="1"/>
        <v>7.333333333333333</v>
      </c>
      <c r="J133" s="96">
        <f t="shared" si="2"/>
        <v>7.5</v>
      </c>
    </row>
    <row r="134" spans="1:10" hidden="1">
      <c r="H134">
        <v>14</v>
      </c>
      <c r="I134" s="96">
        <f t="shared" si="1"/>
        <v>7.096774193548387</v>
      </c>
      <c r="J134" s="96">
        <f t="shared" si="2"/>
        <v>7.2727272727272725</v>
      </c>
    </row>
    <row r="135" spans="1:10" hidden="1">
      <c r="H135">
        <v>15</v>
      </c>
      <c r="I135" s="96">
        <f t="shared" si="1"/>
        <v>6.875</v>
      </c>
      <c r="J135" s="96">
        <f t="shared" si="2"/>
        <v>7.0588235294117645</v>
      </c>
    </row>
    <row r="136" spans="1:10" hidden="1">
      <c r="H136">
        <v>16</v>
      </c>
      <c r="I136" s="96">
        <f t="shared" si="1"/>
        <v>6.666666666666667</v>
      </c>
      <c r="J136" s="96">
        <f t="shared" si="2"/>
        <v>6.8571428571428568</v>
      </c>
    </row>
    <row r="137" spans="1:10" hidden="1">
      <c r="H137">
        <v>17</v>
      </c>
      <c r="I137" s="96">
        <f t="shared" si="1"/>
        <v>6.4705882352941178</v>
      </c>
      <c r="J137" s="96">
        <f t="shared" si="2"/>
        <v>6.666666666666667</v>
      </c>
    </row>
    <row r="138" spans="1:10" hidden="1">
      <c r="H138">
        <v>18</v>
      </c>
      <c r="I138" s="96">
        <f t="shared" si="1"/>
        <v>6.2857142857142856</v>
      </c>
      <c r="J138" s="96">
        <f t="shared" si="2"/>
        <v>6.4864864864864868</v>
      </c>
    </row>
    <row r="139" spans="1:10" hidden="1">
      <c r="H139">
        <v>19</v>
      </c>
      <c r="I139" s="96">
        <f t="shared" si="1"/>
        <v>6.1111111111111107</v>
      </c>
      <c r="J139" s="96">
        <f t="shared" si="2"/>
        <v>6.3157894736842106</v>
      </c>
    </row>
    <row r="140" spans="1:10" hidden="1">
      <c r="H140">
        <v>20</v>
      </c>
      <c r="I140" s="96">
        <f t="shared" si="1"/>
        <v>5.9459459459459456</v>
      </c>
      <c r="J140" s="96">
        <f t="shared" si="2"/>
        <v>6.1538461538461542</v>
      </c>
    </row>
    <row r="141" spans="1:10" hidden="1">
      <c r="H141">
        <v>21</v>
      </c>
      <c r="I141" s="96">
        <f t="shared" si="1"/>
        <v>5.7894736842105265</v>
      </c>
      <c r="J141" s="96">
        <f t="shared" si="2"/>
        <v>6</v>
      </c>
    </row>
    <row r="142" spans="1:10" hidden="1">
      <c r="H142">
        <v>22</v>
      </c>
      <c r="I142" s="96">
        <f t="shared" si="1"/>
        <v>5.6410256410256414</v>
      </c>
      <c r="J142" s="96">
        <f t="shared" si="2"/>
        <v>5.8536585365853657</v>
      </c>
    </row>
    <row r="143" spans="1:10" hidden="1">
      <c r="H143">
        <v>23</v>
      </c>
      <c r="I143" s="96">
        <f t="shared" si="1"/>
        <v>5.5</v>
      </c>
      <c r="J143" s="96">
        <f t="shared" si="2"/>
        <v>5.7142857142857144</v>
      </c>
    </row>
    <row r="144" spans="1:10" hidden="1">
      <c r="H144">
        <v>24</v>
      </c>
      <c r="I144" s="96">
        <f t="shared" si="1"/>
        <v>5.3658536585365857</v>
      </c>
      <c r="J144" s="96">
        <f t="shared" si="2"/>
        <v>5.5813953488372094</v>
      </c>
    </row>
    <row r="145" spans="8:10" hidden="1">
      <c r="H145">
        <v>25</v>
      </c>
      <c r="I145" s="96">
        <f t="shared" si="1"/>
        <v>5.2380952380952381</v>
      </c>
      <c r="J145" s="96">
        <f t="shared" si="2"/>
        <v>5.4545454545454541</v>
      </c>
    </row>
    <row r="146" spans="8:10" hidden="1">
      <c r="H146">
        <v>26</v>
      </c>
      <c r="I146" s="96">
        <f t="shared" si="1"/>
        <v>5.1162790697674421</v>
      </c>
      <c r="J146" s="96">
        <f t="shared" si="2"/>
        <v>5.333333333333333</v>
      </c>
    </row>
    <row r="147" spans="8:10" hidden="1">
      <c r="H147">
        <v>27</v>
      </c>
      <c r="I147" s="96">
        <f t="shared" si="1"/>
        <v>5</v>
      </c>
      <c r="J147" s="96">
        <f t="shared" si="2"/>
        <v>5.2173913043478262</v>
      </c>
    </row>
    <row r="148" spans="8:10" hidden="1">
      <c r="H148">
        <v>28</v>
      </c>
      <c r="I148" s="96">
        <f t="shared" si="1"/>
        <v>4.8888888888888893</v>
      </c>
      <c r="J148" s="96">
        <f t="shared" si="2"/>
        <v>5.1063829787234045</v>
      </c>
    </row>
    <row r="149" spans="8:10" hidden="1">
      <c r="H149">
        <v>29</v>
      </c>
      <c r="I149" s="96">
        <f t="shared" si="1"/>
        <v>4.7826086956521738</v>
      </c>
      <c r="J149" s="96">
        <f t="shared" si="2"/>
        <v>5</v>
      </c>
    </row>
    <row r="150" spans="8:10" hidden="1">
      <c r="H150">
        <v>30</v>
      </c>
      <c r="I150" s="96">
        <f t="shared" si="1"/>
        <v>4.6808510638297873</v>
      </c>
      <c r="J150" s="96">
        <f t="shared" si="2"/>
        <v>4.8979591836734695</v>
      </c>
    </row>
    <row r="151" spans="8:10" hidden="1">
      <c r="H151">
        <v>31</v>
      </c>
      <c r="I151" s="96">
        <f t="shared" si="1"/>
        <v>4.583333333333333</v>
      </c>
      <c r="J151" s="96">
        <f t="shared" si="2"/>
        <v>4.8</v>
      </c>
    </row>
    <row r="152" spans="8:10" hidden="1">
      <c r="H152">
        <v>32</v>
      </c>
      <c r="I152" s="96">
        <f t="shared" si="1"/>
        <v>4.4897959183673466</v>
      </c>
      <c r="J152" s="96">
        <f t="shared" si="2"/>
        <v>4.7058823529411766</v>
      </c>
    </row>
    <row r="153" spans="8:10" hidden="1">
      <c r="H153">
        <v>33</v>
      </c>
      <c r="I153" s="96">
        <f t="shared" si="1"/>
        <v>4.4000000000000004</v>
      </c>
      <c r="J153" s="96">
        <f t="shared" si="2"/>
        <v>4.615384615384615</v>
      </c>
    </row>
    <row r="154" spans="8:10" hidden="1">
      <c r="H154">
        <v>34</v>
      </c>
      <c r="I154" s="96">
        <f t="shared" si="1"/>
        <v>4.3137254901960782</v>
      </c>
      <c r="J154" s="96">
        <f t="shared" si="2"/>
        <v>4.5283018867924527</v>
      </c>
    </row>
    <row r="155" spans="8:10" hidden="1">
      <c r="H155">
        <v>35</v>
      </c>
      <c r="I155" s="96">
        <f t="shared" si="1"/>
        <v>4.2307692307692308</v>
      </c>
      <c r="J155" s="96">
        <f t="shared" si="2"/>
        <v>4.4444444444444446</v>
      </c>
    </row>
    <row r="156" spans="8:10" hidden="1">
      <c r="H156">
        <v>36</v>
      </c>
      <c r="I156" s="96">
        <f t="shared" si="1"/>
        <v>4.1509433962264151</v>
      </c>
      <c r="J156" s="96">
        <f t="shared" si="2"/>
        <v>4.3636363636363633</v>
      </c>
    </row>
    <row r="157" spans="8:10" hidden="1">
      <c r="H157">
        <v>37</v>
      </c>
      <c r="I157" s="96">
        <f t="shared" si="1"/>
        <v>4.0740740740740744</v>
      </c>
      <c r="J157" s="96">
        <f t="shared" si="2"/>
        <v>4.2857142857142856</v>
      </c>
    </row>
    <row r="158" spans="8:10" hidden="1">
      <c r="H158">
        <v>38</v>
      </c>
      <c r="I158" s="96">
        <f t="shared" si="1"/>
        <v>4</v>
      </c>
      <c r="J158" s="96">
        <f t="shared" si="2"/>
        <v>4.2105263157894735</v>
      </c>
    </row>
    <row r="159" spans="8:10" hidden="1">
      <c r="H159">
        <v>39</v>
      </c>
      <c r="I159" s="96">
        <f t="shared" si="1"/>
        <v>3.9285714285714284</v>
      </c>
      <c r="J159" s="96">
        <f t="shared" si="2"/>
        <v>4.1379310344827589</v>
      </c>
    </row>
    <row r="160" spans="8:10" hidden="1">
      <c r="H160">
        <v>40</v>
      </c>
      <c r="I160" s="96">
        <f t="shared" si="1"/>
        <v>3.8596491228070176</v>
      </c>
      <c r="J160" s="96">
        <f t="shared" si="2"/>
        <v>4.0677966101694913</v>
      </c>
    </row>
    <row r="161" hidden="1"/>
    <row r="162" hidden="1"/>
    <row r="163" hidden="1"/>
  </sheetData>
  <mergeCells count="59">
    <mergeCell ref="P109:P113"/>
    <mergeCell ref="N13:O13"/>
    <mergeCell ref="M109:M113"/>
    <mergeCell ref="N109:N113"/>
    <mergeCell ref="O109:O113"/>
    <mergeCell ref="M47:M51"/>
    <mergeCell ref="N47:N51"/>
    <mergeCell ref="O47:O51"/>
    <mergeCell ref="P47:P51"/>
    <mergeCell ref="M53:P53"/>
    <mergeCell ref="M55:M59"/>
    <mergeCell ref="N55:N59"/>
    <mergeCell ref="O55:O59"/>
    <mergeCell ref="P55:P59"/>
    <mergeCell ref="M29:P29"/>
    <mergeCell ref="M31:M35"/>
    <mergeCell ref="AK49:AK53"/>
    <mergeCell ref="AL49:AL53"/>
    <mergeCell ref="AN49:AN50"/>
    <mergeCell ref="AN32:AN33"/>
    <mergeCell ref="AM32:AM36"/>
    <mergeCell ref="AL32:AL36"/>
    <mergeCell ref="AK32:AK36"/>
    <mergeCell ref="AP32:AP36"/>
    <mergeCell ref="AP49:AP53"/>
    <mergeCell ref="AO32:AO36"/>
    <mergeCell ref="AO49:AO53"/>
    <mergeCell ref="AM49:AM53"/>
    <mergeCell ref="AD32:AD33"/>
    <mergeCell ref="O100:O104"/>
    <mergeCell ref="P100:P104"/>
    <mergeCell ref="M45:P45"/>
    <mergeCell ref="M77:P77"/>
    <mergeCell ref="M79:M83"/>
    <mergeCell ref="N79:N83"/>
    <mergeCell ref="O79:O83"/>
    <mergeCell ref="P79:P83"/>
    <mergeCell ref="M100:M104"/>
    <mergeCell ref="N100:N104"/>
    <mergeCell ref="M63:M67"/>
    <mergeCell ref="N63:N67"/>
    <mergeCell ref="O63:O67"/>
    <mergeCell ref="P63:P67"/>
    <mergeCell ref="M61:P61"/>
    <mergeCell ref="V82:V84"/>
    <mergeCell ref="W82:W84"/>
    <mergeCell ref="N31:N35"/>
    <mergeCell ref="O31:O35"/>
    <mergeCell ref="P31:P35"/>
    <mergeCell ref="M37:P37"/>
    <mergeCell ref="M39:M43"/>
    <mergeCell ref="N39:N43"/>
    <mergeCell ref="O39:O43"/>
    <mergeCell ref="P39:P43"/>
    <mergeCell ref="M69:P69"/>
    <mergeCell ref="M71:M75"/>
    <mergeCell ref="N71:N75"/>
    <mergeCell ref="O71:O75"/>
    <mergeCell ref="P71:P7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59"/>
  <sheetViews>
    <sheetView workbookViewId="0">
      <pane ySplit="2" topLeftCell="A3" activePane="bottomLeft" state="frozen"/>
      <selection pane="bottomLeft" activeCell="S14" sqref="S14"/>
    </sheetView>
  </sheetViews>
  <sheetFormatPr baseColWidth="10" defaultRowHeight="15"/>
  <cols>
    <col min="1" max="1" width="27.42578125" style="301" bestFit="1" customWidth="1"/>
    <col min="2" max="2" width="7" bestFit="1" customWidth="1"/>
    <col min="3" max="5" width="7.5703125" bestFit="1" customWidth="1"/>
    <col min="6" max="6" width="5.5703125" style="62" bestFit="1" customWidth="1"/>
    <col min="7" max="7" width="5" bestFit="1" customWidth="1"/>
    <col min="8" max="8" width="4.7109375" bestFit="1" customWidth="1"/>
    <col min="9" max="9" width="10.140625" bestFit="1" customWidth="1"/>
    <col min="10" max="10" width="5.42578125" bestFit="1" customWidth="1"/>
    <col min="11" max="11" width="9" bestFit="1" customWidth="1"/>
    <col min="12" max="12" width="13" customWidth="1"/>
    <col min="13" max="14" width="12" customWidth="1"/>
    <col min="15" max="15" width="13" bestFit="1" customWidth="1"/>
    <col min="16" max="16" width="16.140625" customWidth="1"/>
    <col min="17" max="17" width="18.140625" bestFit="1" customWidth="1"/>
    <col min="18" max="18" width="11.42578125" customWidth="1"/>
  </cols>
  <sheetData>
    <row r="1" spans="1:18" ht="15.75" thickBot="1">
      <c r="A1" s="35"/>
      <c r="B1" s="14" t="s">
        <v>34</v>
      </c>
      <c r="C1" s="31" t="s">
        <v>30</v>
      </c>
      <c r="D1" s="15" t="s">
        <v>31</v>
      </c>
      <c r="E1" s="32" t="s">
        <v>32</v>
      </c>
      <c r="F1" s="15" t="s">
        <v>61</v>
      </c>
      <c r="G1" s="15" t="s">
        <v>362</v>
      </c>
      <c r="H1" s="15" t="s">
        <v>559</v>
      </c>
      <c r="I1" s="15" t="s">
        <v>383</v>
      </c>
      <c r="J1" s="15" t="s">
        <v>375</v>
      </c>
      <c r="K1" s="32" t="s">
        <v>56</v>
      </c>
      <c r="L1" s="33" t="s">
        <v>30</v>
      </c>
      <c r="M1" s="33" t="s">
        <v>31</v>
      </c>
      <c r="N1" s="33" t="s">
        <v>32</v>
      </c>
      <c r="O1" s="34" t="s">
        <v>56</v>
      </c>
      <c r="P1" s="14" t="s">
        <v>69</v>
      </c>
      <c r="Q1" s="35" t="s">
        <v>70</v>
      </c>
      <c r="R1" s="110" t="s">
        <v>451</v>
      </c>
    </row>
    <row r="2" spans="1:18" ht="15.75" thickBot="1">
      <c r="B2" s="18">
        <f>SUM(B3:B356)</f>
        <v>0</v>
      </c>
      <c r="C2" s="64"/>
      <c r="D2" s="65"/>
      <c r="E2" s="59"/>
      <c r="F2" s="176"/>
      <c r="G2" s="65"/>
      <c r="H2" s="65"/>
      <c r="I2" s="65"/>
      <c r="J2" s="65"/>
      <c r="K2" s="59"/>
      <c r="L2" s="23">
        <f>SUM(L3:L356)</f>
        <v>0</v>
      </c>
      <c r="M2" s="23">
        <f>SUM(M3:M356)</f>
        <v>0</v>
      </c>
      <c r="N2" s="23">
        <f>SUM(N3:N356)</f>
        <v>0</v>
      </c>
      <c r="O2" s="23">
        <f>SUM(O3:O356)</f>
        <v>0</v>
      </c>
      <c r="P2" s="18"/>
      <c r="Q2" s="59"/>
      <c r="R2" s="30" t="e">
        <f>N2/B2</f>
        <v>#DIV/0!</v>
      </c>
    </row>
    <row r="3" spans="1:18">
      <c r="A3" s="152" t="s">
        <v>522</v>
      </c>
      <c r="B3" s="242">
        <v>0</v>
      </c>
      <c r="C3" s="37">
        <v>15</v>
      </c>
      <c r="D3" s="38">
        <v>15</v>
      </c>
      <c r="E3" s="50">
        <v>15</v>
      </c>
      <c r="F3" s="38"/>
      <c r="G3" s="68">
        <v>1</v>
      </c>
      <c r="H3" s="68">
        <v>4</v>
      </c>
      <c r="I3" s="68" t="s">
        <v>384</v>
      </c>
      <c r="J3" s="38">
        <v>1</v>
      </c>
      <c r="K3" s="50">
        <v>100</v>
      </c>
      <c r="L3" s="39">
        <f>$B3*C3</f>
        <v>0</v>
      </c>
      <c r="M3" s="40">
        <f>$B3*D3</f>
        <v>0</v>
      </c>
      <c r="N3" s="40">
        <f>$B3*E3</f>
        <v>0</v>
      </c>
      <c r="O3" s="41">
        <f t="shared" ref="O3:O97" si="0">$B3*K3</f>
        <v>0</v>
      </c>
      <c r="P3" s="42"/>
      <c r="Q3" s="36"/>
    </row>
    <row r="4" spans="1:18">
      <c r="A4" s="153" t="s">
        <v>71</v>
      </c>
      <c r="B4" s="243">
        <v>0</v>
      </c>
      <c r="C4" s="78">
        <v>19</v>
      </c>
      <c r="D4" s="43">
        <v>19</v>
      </c>
      <c r="E4" s="97">
        <v>19</v>
      </c>
      <c r="F4" s="43"/>
      <c r="G4" s="58">
        <v>12</v>
      </c>
      <c r="H4" s="58"/>
      <c r="I4" s="58" t="s">
        <v>384</v>
      </c>
      <c r="J4" s="43">
        <v>1</v>
      </c>
      <c r="K4" s="323">
        <v>100</v>
      </c>
      <c r="L4" s="44">
        <f t="shared" ref="L4:L67" si="1">$B4*C4</f>
        <v>0</v>
      </c>
      <c r="M4" s="19">
        <f t="shared" ref="M4:M67" si="2">$B4*D4</f>
        <v>0</v>
      </c>
      <c r="N4" s="19">
        <f t="shared" ref="N4:N67" si="3">$B4*E4</f>
        <v>0</v>
      </c>
      <c r="O4" s="20">
        <f t="shared" si="0"/>
        <v>0</v>
      </c>
      <c r="P4" s="45"/>
      <c r="Q4" s="16"/>
    </row>
    <row r="5" spans="1:18">
      <c r="A5" s="154" t="s">
        <v>72</v>
      </c>
      <c r="B5" s="243">
        <v>0</v>
      </c>
      <c r="C5" s="78">
        <v>20</v>
      </c>
      <c r="D5" s="43">
        <v>15</v>
      </c>
      <c r="E5" s="97">
        <v>25</v>
      </c>
      <c r="F5" s="43"/>
      <c r="G5" s="58">
        <v>12</v>
      </c>
      <c r="H5" s="58"/>
      <c r="I5" s="58" t="s">
        <v>384</v>
      </c>
      <c r="J5" s="43"/>
      <c r="K5" s="323">
        <v>100</v>
      </c>
      <c r="L5" s="44">
        <f t="shared" si="1"/>
        <v>0</v>
      </c>
      <c r="M5" s="19">
        <f t="shared" si="2"/>
        <v>0</v>
      </c>
      <c r="N5" s="19">
        <f t="shared" si="3"/>
        <v>0</v>
      </c>
      <c r="O5" s="20">
        <f t="shared" si="0"/>
        <v>0</v>
      </c>
      <c r="P5" s="45"/>
      <c r="Q5" s="16"/>
    </row>
    <row r="6" spans="1:18">
      <c r="A6" s="153" t="s">
        <v>73</v>
      </c>
      <c r="B6" s="243">
        <v>0</v>
      </c>
      <c r="C6" s="78">
        <v>19</v>
      </c>
      <c r="D6" s="43">
        <v>19</v>
      </c>
      <c r="E6" s="97">
        <v>19</v>
      </c>
      <c r="F6" s="43"/>
      <c r="G6" s="58">
        <v>12</v>
      </c>
      <c r="H6" s="58"/>
      <c r="I6" s="58" t="s">
        <v>384</v>
      </c>
      <c r="J6" s="43"/>
      <c r="K6" s="323">
        <v>100</v>
      </c>
      <c r="L6" s="44">
        <f t="shared" si="1"/>
        <v>0</v>
      </c>
      <c r="M6" s="19">
        <f t="shared" si="2"/>
        <v>0</v>
      </c>
      <c r="N6" s="19">
        <f t="shared" si="3"/>
        <v>0</v>
      </c>
      <c r="O6" s="20">
        <f t="shared" si="0"/>
        <v>0</v>
      </c>
      <c r="P6" s="45"/>
      <c r="Q6" s="16"/>
    </row>
    <row r="7" spans="1:18">
      <c r="A7" s="153" t="s">
        <v>74</v>
      </c>
      <c r="B7" s="243">
        <v>0</v>
      </c>
      <c r="C7" s="78">
        <v>19</v>
      </c>
      <c r="D7" s="43">
        <v>19</v>
      </c>
      <c r="E7" s="97">
        <v>19</v>
      </c>
      <c r="F7" s="43"/>
      <c r="G7" s="58">
        <v>12</v>
      </c>
      <c r="H7" s="58"/>
      <c r="I7" s="58" t="s">
        <v>384</v>
      </c>
      <c r="J7" s="43"/>
      <c r="K7" s="323">
        <v>100</v>
      </c>
      <c r="L7" s="44">
        <f t="shared" si="1"/>
        <v>0</v>
      </c>
      <c r="M7" s="19">
        <f t="shared" si="2"/>
        <v>0</v>
      </c>
      <c r="N7" s="19">
        <f t="shared" si="3"/>
        <v>0</v>
      </c>
      <c r="O7" s="20">
        <f t="shared" si="0"/>
        <v>0</v>
      </c>
      <c r="P7" s="45"/>
      <c r="Q7" s="16"/>
    </row>
    <row r="8" spans="1:18">
      <c r="A8" s="153" t="s">
        <v>75</v>
      </c>
      <c r="B8" s="243">
        <v>0</v>
      </c>
      <c r="C8" s="78">
        <v>15</v>
      </c>
      <c r="D8" s="43">
        <v>15</v>
      </c>
      <c r="E8" s="97">
        <v>15</v>
      </c>
      <c r="F8" s="43"/>
      <c r="G8" s="58">
        <v>12</v>
      </c>
      <c r="H8" s="58"/>
      <c r="I8" s="58" t="s">
        <v>384</v>
      </c>
      <c r="J8" s="43"/>
      <c r="K8" s="323">
        <v>100</v>
      </c>
      <c r="L8" s="44">
        <f t="shared" si="1"/>
        <v>0</v>
      </c>
      <c r="M8" s="19">
        <f t="shared" si="2"/>
        <v>0</v>
      </c>
      <c r="N8" s="19">
        <f t="shared" si="3"/>
        <v>0</v>
      </c>
      <c r="O8" s="20">
        <f t="shared" si="0"/>
        <v>0</v>
      </c>
      <c r="P8" s="45" t="s">
        <v>76</v>
      </c>
      <c r="Q8" s="16"/>
    </row>
    <row r="9" spans="1:18">
      <c r="A9" s="153" t="s">
        <v>77</v>
      </c>
      <c r="B9" s="243">
        <v>0</v>
      </c>
      <c r="C9" s="78">
        <v>19</v>
      </c>
      <c r="D9" s="43">
        <v>19</v>
      </c>
      <c r="E9" s="97">
        <v>19</v>
      </c>
      <c r="F9" s="43"/>
      <c r="G9" s="58">
        <v>12</v>
      </c>
      <c r="H9" s="58"/>
      <c r="I9" s="58" t="s">
        <v>384</v>
      </c>
      <c r="J9" s="43"/>
      <c r="K9" s="323">
        <v>100</v>
      </c>
      <c r="L9" s="44">
        <f t="shared" si="1"/>
        <v>0</v>
      </c>
      <c r="M9" s="19">
        <f t="shared" si="2"/>
        <v>0</v>
      </c>
      <c r="N9" s="19">
        <f t="shared" si="3"/>
        <v>0</v>
      </c>
      <c r="O9" s="20">
        <f t="shared" si="0"/>
        <v>0</v>
      </c>
      <c r="P9" s="45"/>
      <c r="Q9" s="16"/>
    </row>
    <row r="10" spans="1:18">
      <c r="A10" s="155" t="s">
        <v>78</v>
      </c>
      <c r="B10" s="243">
        <v>0</v>
      </c>
      <c r="C10" s="78">
        <v>80</v>
      </c>
      <c r="D10" s="43">
        <v>1</v>
      </c>
      <c r="E10" s="97">
        <v>1</v>
      </c>
      <c r="F10" s="43"/>
      <c r="G10" s="58">
        <v>12</v>
      </c>
      <c r="H10" s="58"/>
      <c r="I10" s="58" t="s">
        <v>384</v>
      </c>
      <c r="J10" s="43"/>
      <c r="K10" s="323">
        <v>100</v>
      </c>
      <c r="L10" s="44">
        <f t="shared" si="1"/>
        <v>0</v>
      </c>
      <c r="M10" s="19">
        <f t="shared" si="2"/>
        <v>0</v>
      </c>
      <c r="N10" s="19">
        <f t="shared" si="3"/>
        <v>0</v>
      </c>
      <c r="O10" s="20">
        <f t="shared" si="0"/>
        <v>0</v>
      </c>
      <c r="P10" s="45" t="s">
        <v>79</v>
      </c>
      <c r="Q10" s="16"/>
    </row>
    <row r="11" spans="1:18">
      <c r="A11" s="155" t="s">
        <v>80</v>
      </c>
      <c r="B11" s="243">
        <v>0</v>
      </c>
      <c r="C11" s="78">
        <v>26</v>
      </c>
      <c r="D11" s="43">
        <v>26</v>
      </c>
      <c r="E11" s="97">
        <v>26</v>
      </c>
      <c r="F11" s="43">
        <v>20</v>
      </c>
      <c r="G11" s="58">
        <v>12</v>
      </c>
      <c r="H11" s="58"/>
      <c r="I11" s="58" t="s">
        <v>384</v>
      </c>
      <c r="J11" s="43"/>
      <c r="K11" s="323">
        <v>100</v>
      </c>
      <c r="L11" s="44">
        <f t="shared" si="1"/>
        <v>0</v>
      </c>
      <c r="M11" s="19">
        <f t="shared" si="2"/>
        <v>0</v>
      </c>
      <c r="N11" s="19">
        <f t="shared" si="3"/>
        <v>0</v>
      </c>
      <c r="O11" s="20">
        <f t="shared" si="0"/>
        <v>0</v>
      </c>
      <c r="P11" s="45"/>
      <c r="Q11" s="46" t="s">
        <v>81</v>
      </c>
    </row>
    <row r="12" spans="1:18">
      <c r="A12" s="155" t="s">
        <v>82</v>
      </c>
      <c r="B12" s="243">
        <v>0</v>
      </c>
      <c r="C12" s="78">
        <v>26</v>
      </c>
      <c r="D12" s="43">
        <v>44</v>
      </c>
      <c r="E12" s="97">
        <v>26</v>
      </c>
      <c r="F12" s="43"/>
      <c r="G12" s="58">
        <v>12</v>
      </c>
      <c r="H12" s="58"/>
      <c r="I12" s="58" t="s">
        <v>385</v>
      </c>
      <c r="J12" s="43"/>
      <c r="K12" s="323">
        <v>100</v>
      </c>
      <c r="L12" s="44">
        <f t="shared" si="1"/>
        <v>0</v>
      </c>
      <c r="M12" s="19">
        <f t="shared" si="2"/>
        <v>0</v>
      </c>
      <c r="N12" s="19">
        <f t="shared" si="3"/>
        <v>0</v>
      </c>
      <c r="O12" s="20">
        <f t="shared" si="0"/>
        <v>0</v>
      </c>
      <c r="P12" s="45"/>
      <c r="Q12" s="16"/>
    </row>
    <row r="13" spans="1:18">
      <c r="A13" s="155" t="s">
        <v>83</v>
      </c>
      <c r="B13" s="243">
        <v>0</v>
      </c>
      <c r="C13" s="78">
        <v>26</v>
      </c>
      <c r="D13" s="43">
        <v>40</v>
      </c>
      <c r="E13" s="97">
        <v>26</v>
      </c>
      <c r="F13" s="43"/>
      <c r="G13" s="58">
        <v>12</v>
      </c>
      <c r="H13" s="58"/>
      <c r="I13" s="58" t="s">
        <v>384</v>
      </c>
      <c r="J13" s="43"/>
      <c r="K13" s="323">
        <v>100</v>
      </c>
      <c r="L13" s="44">
        <f t="shared" si="1"/>
        <v>0</v>
      </c>
      <c r="M13" s="19">
        <f t="shared" si="2"/>
        <v>0</v>
      </c>
      <c r="N13" s="19">
        <f t="shared" si="3"/>
        <v>0</v>
      </c>
      <c r="O13" s="20">
        <f t="shared" si="0"/>
        <v>0</v>
      </c>
      <c r="P13" s="45"/>
      <c r="Q13" s="16"/>
    </row>
    <row r="14" spans="1:18">
      <c r="A14" s="156" t="s">
        <v>84</v>
      </c>
      <c r="B14" s="243">
        <v>0</v>
      </c>
      <c r="C14" s="78">
        <v>150</v>
      </c>
      <c r="D14" s="43">
        <v>100</v>
      </c>
      <c r="E14" s="97">
        <v>125</v>
      </c>
      <c r="F14" s="43"/>
      <c r="G14" s="58">
        <v>12</v>
      </c>
      <c r="H14" s="58"/>
      <c r="I14" s="58" t="s">
        <v>384</v>
      </c>
      <c r="J14" s="43"/>
      <c r="K14" s="323">
        <v>100</v>
      </c>
      <c r="L14" s="44">
        <f t="shared" si="1"/>
        <v>0</v>
      </c>
      <c r="M14" s="19">
        <f t="shared" si="2"/>
        <v>0</v>
      </c>
      <c r="N14" s="19">
        <f t="shared" si="3"/>
        <v>0</v>
      </c>
      <c r="O14" s="20">
        <f t="shared" si="0"/>
        <v>0</v>
      </c>
      <c r="P14" s="45"/>
      <c r="Q14" s="16"/>
    </row>
    <row r="15" spans="1:18">
      <c r="A15" s="156" t="s">
        <v>85</v>
      </c>
      <c r="B15" s="243">
        <v>0</v>
      </c>
      <c r="C15" s="78">
        <v>70</v>
      </c>
      <c r="D15" s="43">
        <v>90</v>
      </c>
      <c r="E15" s="97">
        <v>100</v>
      </c>
      <c r="F15" s="43"/>
      <c r="G15" s="58">
        <v>12</v>
      </c>
      <c r="H15" s="58"/>
      <c r="I15" s="58" t="s">
        <v>384</v>
      </c>
      <c r="J15" s="43"/>
      <c r="K15" s="323">
        <v>100</v>
      </c>
      <c r="L15" s="44">
        <f t="shared" si="1"/>
        <v>0</v>
      </c>
      <c r="M15" s="19">
        <f t="shared" si="2"/>
        <v>0</v>
      </c>
      <c r="N15" s="19">
        <f t="shared" si="3"/>
        <v>0</v>
      </c>
      <c r="O15" s="20">
        <f t="shared" si="0"/>
        <v>0</v>
      </c>
      <c r="P15" s="45"/>
      <c r="Q15" s="16"/>
    </row>
    <row r="16" spans="1:18" ht="15.75" thickBot="1">
      <c r="A16" s="157" t="s">
        <v>86</v>
      </c>
      <c r="B16" s="244">
        <v>0</v>
      </c>
      <c r="C16" s="79">
        <v>200</v>
      </c>
      <c r="D16" s="47">
        <v>200</v>
      </c>
      <c r="E16" s="98">
        <v>320</v>
      </c>
      <c r="F16" s="43"/>
      <c r="G16" s="58">
        <v>12</v>
      </c>
      <c r="H16" s="58"/>
      <c r="I16" s="58" t="s">
        <v>384</v>
      </c>
      <c r="J16" s="43"/>
      <c r="K16" s="323">
        <v>100</v>
      </c>
      <c r="L16" s="48">
        <f t="shared" si="1"/>
        <v>0</v>
      </c>
      <c r="M16" s="21">
        <f t="shared" si="2"/>
        <v>0</v>
      </c>
      <c r="N16" s="21">
        <f t="shared" si="3"/>
        <v>0</v>
      </c>
      <c r="O16" s="22">
        <f t="shared" si="0"/>
        <v>0</v>
      </c>
      <c r="P16" s="49" t="s">
        <v>76</v>
      </c>
      <c r="Q16" s="17"/>
    </row>
    <row r="17" spans="1:17">
      <c r="A17" s="152" t="s">
        <v>521</v>
      </c>
      <c r="B17" s="242">
        <v>0</v>
      </c>
      <c r="C17" s="77">
        <v>25</v>
      </c>
      <c r="D17" s="13">
        <v>15</v>
      </c>
      <c r="E17" s="51">
        <v>15</v>
      </c>
      <c r="F17" s="37"/>
      <c r="G17" s="68">
        <v>2</v>
      </c>
      <c r="H17" s="68">
        <v>4</v>
      </c>
      <c r="I17" s="68" t="s">
        <v>38</v>
      </c>
      <c r="J17" s="38">
        <v>1</v>
      </c>
      <c r="K17" s="50">
        <v>100</v>
      </c>
      <c r="L17" s="40">
        <f t="shared" si="1"/>
        <v>0</v>
      </c>
      <c r="M17" s="40">
        <f t="shared" si="2"/>
        <v>0</v>
      </c>
      <c r="N17" s="40">
        <f t="shared" si="3"/>
        <v>0</v>
      </c>
      <c r="O17" s="40">
        <f t="shared" si="0"/>
        <v>0</v>
      </c>
      <c r="P17" s="36"/>
      <c r="Q17" s="42"/>
    </row>
    <row r="18" spans="1:17">
      <c r="A18" s="153" t="s">
        <v>87</v>
      </c>
      <c r="B18" s="243">
        <v>0</v>
      </c>
      <c r="C18" s="78">
        <v>30</v>
      </c>
      <c r="D18" s="43">
        <v>20</v>
      </c>
      <c r="E18" s="97">
        <v>20</v>
      </c>
      <c r="F18" s="78"/>
      <c r="G18" s="58">
        <v>12</v>
      </c>
      <c r="H18" s="58"/>
      <c r="I18" s="58" t="s">
        <v>38</v>
      </c>
      <c r="J18" s="43">
        <v>1</v>
      </c>
      <c r="K18" s="323">
        <v>100</v>
      </c>
      <c r="L18" s="19">
        <f t="shared" si="1"/>
        <v>0</v>
      </c>
      <c r="M18" s="19">
        <f t="shared" si="2"/>
        <v>0</v>
      </c>
      <c r="N18" s="19">
        <f t="shared" si="3"/>
        <v>0</v>
      </c>
      <c r="O18" s="19">
        <f t="shared" si="0"/>
        <v>0</v>
      </c>
      <c r="P18" s="46"/>
      <c r="Q18" s="26"/>
    </row>
    <row r="19" spans="1:17">
      <c r="A19" s="153" t="s">
        <v>88</v>
      </c>
      <c r="B19" s="243">
        <v>0</v>
      </c>
      <c r="C19" s="78">
        <v>30</v>
      </c>
      <c r="D19" s="43">
        <v>20</v>
      </c>
      <c r="E19" s="97">
        <v>20</v>
      </c>
      <c r="F19" s="78"/>
      <c r="G19" s="58">
        <v>12</v>
      </c>
      <c r="H19" s="58"/>
      <c r="I19" s="58" t="s">
        <v>38</v>
      </c>
      <c r="J19" s="43"/>
      <c r="K19" s="323">
        <v>100</v>
      </c>
      <c r="L19" s="19">
        <f t="shared" si="1"/>
        <v>0</v>
      </c>
      <c r="M19" s="19">
        <f t="shared" si="2"/>
        <v>0</v>
      </c>
      <c r="N19" s="19">
        <f t="shared" si="3"/>
        <v>0</v>
      </c>
      <c r="O19" s="19">
        <f t="shared" si="0"/>
        <v>0</v>
      </c>
      <c r="P19" s="46"/>
      <c r="Q19" s="26"/>
    </row>
    <row r="20" spans="1:17">
      <c r="A20" s="155" t="s">
        <v>89</v>
      </c>
      <c r="B20" s="243">
        <v>0</v>
      </c>
      <c r="C20" s="78">
        <v>35</v>
      </c>
      <c r="D20" s="43">
        <v>30</v>
      </c>
      <c r="E20" s="97">
        <v>30</v>
      </c>
      <c r="F20" s="78"/>
      <c r="G20" s="58">
        <v>12</v>
      </c>
      <c r="H20" s="58"/>
      <c r="I20" s="58" t="s">
        <v>386</v>
      </c>
      <c r="J20" s="43"/>
      <c r="K20" s="323">
        <v>100</v>
      </c>
      <c r="L20" s="19">
        <f t="shared" si="1"/>
        <v>0</v>
      </c>
      <c r="M20" s="19">
        <f t="shared" si="2"/>
        <v>0</v>
      </c>
      <c r="N20" s="19">
        <f t="shared" si="3"/>
        <v>0</v>
      </c>
      <c r="O20" s="19">
        <f t="shared" si="0"/>
        <v>0</v>
      </c>
      <c r="P20" s="46" t="s">
        <v>76</v>
      </c>
      <c r="Q20" s="26"/>
    </row>
    <row r="21" spans="1:17">
      <c r="A21" s="156" t="s">
        <v>90</v>
      </c>
      <c r="B21" s="243">
        <v>0</v>
      </c>
      <c r="C21" s="78">
        <v>70</v>
      </c>
      <c r="D21" s="43">
        <v>35</v>
      </c>
      <c r="E21" s="97">
        <v>35</v>
      </c>
      <c r="F21" s="78"/>
      <c r="G21" s="58">
        <v>12</v>
      </c>
      <c r="H21" s="58"/>
      <c r="I21" s="58" t="s">
        <v>38</v>
      </c>
      <c r="J21" s="43"/>
      <c r="K21" s="323">
        <v>100</v>
      </c>
      <c r="L21" s="19">
        <f t="shared" si="1"/>
        <v>0</v>
      </c>
      <c r="M21" s="19">
        <f t="shared" si="2"/>
        <v>0</v>
      </c>
      <c r="N21" s="19">
        <f t="shared" si="3"/>
        <v>0</v>
      </c>
      <c r="O21" s="19">
        <f t="shared" si="0"/>
        <v>0</v>
      </c>
      <c r="P21" s="46" t="s">
        <v>76</v>
      </c>
      <c r="Q21" s="26"/>
    </row>
    <row r="22" spans="1:17" ht="15.75" thickBot="1">
      <c r="A22" s="157" t="s">
        <v>91</v>
      </c>
      <c r="B22" s="244">
        <v>0</v>
      </c>
      <c r="C22" s="78">
        <v>110</v>
      </c>
      <c r="D22" s="43">
        <v>80</v>
      </c>
      <c r="E22" s="97">
        <v>80</v>
      </c>
      <c r="F22" s="79"/>
      <c r="G22" s="57">
        <v>12</v>
      </c>
      <c r="H22" s="57"/>
      <c r="I22" s="57" t="s">
        <v>38</v>
      </c>
      <c r="J22" s="47"/>
      <c r="K22" s="325">
        <v>100</v>
      </c>
      <c r="L22" s="21">
        <f t="shared" si="1"/>
        <v>0</v>
      </c>
      <c r="M22" s="21">
        <f t="shared" si="2"/>
        <v>0</v>
      </c>
      <c r="N22" s="21">
        <f t="shared" si="3"/>
        <v>0</v>
      </c>
      <c r="O22" s="21">
        <f t="shared" si="0"/>
        <v>0</v>
      </c>
      <c r="P22" s="53" t="s">
        <v>92</v>
      </c>
      <c r="Q22" s="54"/>
    </row>
    <row r="23" spans="1:17">
      <c r="A23" s="152" t="s">
        <v>519</v>
      </c>
      <c r="B23" s="242">
        <v>0</v>
      </c>
      <c r="C23" s="37">
        <v>30</v>
      </c>
      <c r="D23" s="38">
        <v>20</v>
      </c>
      <c r="E23" s="50">
        <v>50</v>
      </c>
      <c r="F23" s="37"/>
      <c r="G23" s="68">
        <v>6</v>
      </c>
      <c r="H23" s="68">
        <v>4</v>
      </c>
      <c r="I23" s="68" t="s">
        <v>387</v>
      </c>
      <c r="J23" s="38">
        <v>1</v>
      </c>
      <c r="K23" s="50">
        <v>120</v>
      </c>
      <c r="L23" s="40">
        <f>$B23*C23</f>
        <v>0</v>
      </c>
      <c r="M23" s="40">
        <f>$B23*D23</f>
        <v>0</v>
      </c>
      <c r="N23" s="40">
        <f>$B23*E23</f>
        <v>0</v>
      </c>
      <c r="O23" s="40">
        <f>$B23*K23</f>
        <v>0</v>
      </c>
      <c r="P23" s="55"/>
      <c r="Q23" s="36"/>
    </row>
    <row r="24" spans="1:17">
      <c r="A24" s="153" t="s">
        <v>93</v>
      </c>
      <c r="B24" s="243">
        <v>0</v>
      </c>
      <c r="C24" s="78">
        <v>60</v>
      </c>
      <c r="D24" s="43">
        <v>20</v>
      </c>
      <c r="E24" s="97">
        <v>50</v>
      </c>
      <c r="F24" s="78"/>
      <c r="G24" s="58">
        <v>12</v>
      </c>
      <c r="H24" s="58"/>
      <c r="I24" s="58" t="s">
        <v>387</v>
      </c>
      <c r="J24" s="43">
        <v>1</v>
      </c>
      <c r="K24" s="323">
        <v>120</v>
      </c>
      <c r="L24" s="19">
        <f t="shared" si="1"/>
        <v>0</v>
      </c>
      <c r="M24" s="19">
        <f t="shared" si="2"/>
        <v>0</v>
      </c>
      <c r="N24" s="19">
        <f t="shared" si="3"/>
        <v>0</v>
      </c>
      <c r="O24" s="19">
        <f t="shared" si="0"/>
        <v>0</v>
      </c>
      <c r="P24" s="46"/>
      <c r="Q24" s="16"/>
    </row>
    <row r="25" spans="1:17">
      <c r="A25" s="153" t="s">
        <v>94</v>
      </c>
      <c r="B25" s="243">
        <v>0</v>
      </c>
      <c r="C25" s="78">
        <v>39</v>
      </c>
      <c r="D25" s="43">
        <v>26</v>
      </c>
      <c r="E25" s="97">
        <v>65</v>
      </c>
      <c r="F25" s="78"/>
      <c r="G25" s="58">
        <v>12</v>
      </c>
      <c r="H25" s="58"/>
      <c r="I25" s="58" t="s">
        <v>387</v>
      </c>
      <c r="J25" s="43"/>
      <c r="K25" s="323">
        <v>120</v>
      </c>
      <c r="L25" s="19">
        <f t="shared" si="1"/>
        <v>0</v>
      </c>
      <c r="M25" s="19">
        <f t="shared" si="2"/>
        <v>0</v>
      </c>
      <c r="N25" s="19">
        <f t="shared" si="3"/>
        <v>0</v>
      </c>
      <c r="O25" s="19">
        <f t="shared" si="0"/>
        <v>0</v>
      </c>
      <c r="P25" s="46"/>
      <c r="Q25" s="16"/>
    </row>
    <row r="26" spans="1:17">
      <c r="A26" s="153" t="s">
        <v>95</v>
      </c>
      <c r="B26" s="243">
        <v>0</v>
      </c>
      <c r="C26" s="78">
        <v>41</v>
      </c>
      <c r="D26" s="43">
        <v>27</v>
      </c>
      <c r="E26" s="97">
        <v>68</v>
      </c>
      <c r="F26" s="78"/>
      <c r="G26" s="58">
        <v>12</v>
      </c>
      <c r="H26" s="58"/>
      <c r="I26" s="58" t="s">
        <v>387</v>
      </c>
      <c r="J26" s="43"/>
      <c r="K26" s="323">
        <v>120</v>
      </c>
      <c r="L26" s="19">
        <f t="shared" si="1"/>
        <v>0</v>
      </c>
      <c r="M26" s="19">
        <f t="shared" si="2"/>
        <v>0</v>
      </c>
      <c r="N26" s="19">
        <f t="shared" si="3"/>
        <v>0</v>
      </c>
      <c r="O26" s="19">
        <f t="shared" si="0"/>
        <v>0</v>
      </c>
      <c r="P26" s="46"/>
      <c r="Q26" s="16"/>
    </row>
    <row r="27" spans="1:17">
      <c r="A27" s="153" t="s">
        <v>96</v>
      </c>
      <c r="B27" s="243">
        <v>0</v>
      </c>
      <c r="C27" s="78">
        <v>15</v>
      </c>
      <c r="D27" s="43">
        <v>40</v>
      </c>
      <c r="E27" s="97">
        <v>85</v>
      </c>
      <c r="F27" s="78"/>
      <c r="G27" s="58">
        <v>12</v>
      </c>
      <c r="H27" s="58"/>
      <c r="I27" s="58" t="s">
        <v>387</v>
      </c>
      <c r="J27" s="43"/>
      <c r="K27" s="323">
        <v>120</v>
      </c>
      <c r="L27" s="19">
        <f t="shared" si="1"/>
        <v>0</v>
      </c>
      <c r="M27" s="19">
        <f t="shared" si="2"/>
        <v>0</v>
      </c>
      <c r="N27" s="19">
        <f t="shared" si="3"/>
        <v>0</v>
      </c>
      <c r="O27" s="19">
        <f t="shared" si="0"/>
        <v>0</v>
      </c>
      <c r="P27" s="46"/>
      <c r="Q27" s="16"/>
    </row>
    <row r="28" spans="1:17">
      <c r="A28" s="153" t="s">
        <v>97</v>
      </c>
      <c r="B28" s="243">
        <v>0</v>
      </c>
      <c r="C28" s="78">
        <v>20</v>
      </c>
      <c r="D28" s="43">
        <v>40</v>
      </c>
      <c r="E28" s="97">
        <v>50</v>
      </c>
      <c r="F28" s="78"/>
      <c r="G28" s="58">
        <v>12</v>
      </c>
      <c r="H28" s="58"/>
      <c r="I28" s="58" t="s">
        <v>387</v>
      </c>
      <c r="J28" s="43"/>
      <c r="K28" s="323">
        <v>120</v>
      </c>
      <c r="L28" s="19">
        <f t="shared" si="1"/>
        <v>0</v>
      </c>
      <c r="M28" s="19">
        <f t="shared" si="2"/>
        <v>0</v>
      </c>
      <c r="N28" s="19">
        <f t="shared" si="3"/>
        <v>0</v>
      </c>
      <c r="O28" s="19">
        <f t="shared" si="0"/>
        <v>0</v>
      </c>
      <c r="P28" s="46"/>
      <c r="Q28" s="16"/>
    </row>
    <row r="29" spans="1:17">
      <c r="A29" s="153" t="s">
        <v>98</v>
      </c>
      <c r="B29" s="243">
        <v>0</v>
      </c>
      <c r="C29" s="78">
        <v>80</v>
      </c>
      <c r="D29" s="43">
        <v>20</v>
      </c>
      <c r="E29" s="97">
        <v>50</v>
      </c>
      <c r="F29" s="78"/>
      <c r="G29" s="58">
        <v>12</v>
      </c>
      <c r="H29" s="58"/>
      <c r="I29" s="58" t="s">
        <v>387</v>
      </c>
      <c r="J29" s="43"/>
      <c r="K29" s="323">
        <v>120</v>
      </c>
      <c r="L29" s="19">
        <f t="shared" si="1"/>
        <v>0</v>
      </c>
      <c r="M29" s="19">
        <f t="shared" si="2"/>
        <v>0</v>
      </c>
      <c r="N29" s="19">
        <f t="shared" si="3"/>
        <v>0</v>
      </c>
      <c r="O29" s="19">
        <f t="shared" si="0"/>
        <v>0</v>
      </c>
      <c r="P29" s="46"/>
      <c r="Q29" s="16"/>
    </row>
    <row r="30" spans="1:17">
      <c r="A30" s="155" t="s">
        <v>99</v>
      </c>
      <c r="B30" s="243">
        <v>0</v>
      </c>
      <c r="C30" s="78">
        <v>30</v>
      </c>
      <c r="D30" s="43">
        <v>20</v>
      </c>
      <c r="E30" s="97">
        <v>50</v>
      </c>
      <c r="F30" s="78">
        <v>24</v>
      </c>
      <c r="G30" s="58">
        <v>12</v>
      </c>
      <c r="H30" s="58"/>
      <c r="I30" s="58" t="s">
        <v>387</v>
      </c>
      <c r="J30" s="43"/>
      <c r="K30" s="323">
        <v>120</v>
      </c>
      <c r="L30" s="19">
        <f t="shared" si="1"/>
        <v>0</v>
      </c>
      <c r="M30" s="19">
        <f t="shared" si="2"/>
        <v>0</v>
      </c>
      <c r="N30" s="19">
        <f t="shared" si="3"/>
        <v>0</v>
      </c>
      <c r="O30" s="19">
        <f t="shared" si="0"/>
        <v>0</v>
      </c>
      <c r="P30" s="46"/>
      <c r="Q30" s="56" t="s">
        <v>100</v>
      </c>
    </row>
    <row r="31" spans="1:17">
      <c r="A31" s="155" t="s">
        <v>101</v>
      </c>
      <c r="B31" s="243">
        <v>0</v>
      </c>
      <c r="C31" s="78">
        <v>53</v>
      </c>
      <c r="D31" s="43">
        <v>35</v>
      </c>
      <c r="E31" s="97">
        <v>88</v>
      </c>
      <c r="F31" s="78"/>
      <c r="G31" s="58">
        <v>12</v>
      </c>
      <c r="H31" s="58"/>
      <c r="I31" s="58" t="s">
        <v>387</v>
      </c>
      <c r="J31" s="43"/>
      <c r="K31" s="323">
        <v>120</v>
      </c>
      <c r="L31" s="19">
        <f t="shared" si="1"/>
        <v>0</v>
      </c>
      <c r="M31" s="19">
        <f t="shared" si="2"/>
        <v>0</v>
      </c>
      <c r="N31" s="19">
        <f t="shared" si="3"/>
        <v>0</v>
      </c>
      <c r="O31" s="19">
        <f t="shared" si="0"/>
        <v>0</v>
      </c>
      <c r="P31" s="46"/>
      <c r="Q31" s="16"/>
    </row>
    <row r="32" spans="1:17">
      <c r="A32" s="155" t="s">
        <v>102</v>
      </c>
      <c r="B32" s="243">
        <v>0</v>
      </c>
      <c r="C32" s="78">
        <v>100</v>
      </c>
      <c r="D32" s="43">
        <v>20</v>
      </c>
      <c r="E32" s="97">
        <v>50</v>
      </c>
      <c r="F32" s="78"/>
      <c r="G32" s="58">
        <v>12</v>
      </c>
      <c r="H32" s="58"/>
      <c r="I32" s="58" t="s">
        <v>387</v>
      </c>
      <c r="J32" s="43"/>
      <c r="K32" s="323">
        <v>120</v>
      </c>
      <c r="L32" s="19">
        <f t="shared" si="1"/>
        <v>0</v>
      </c>
      <c r="M32" s="19">
        <f t="shared" si="2"/>
        <v>0</v>
      </c>
      <c r="N32" s="19">
        <f t="shared" si="3"/>
        <v>0</v>
      </c>
      <c r="O32" s="19">
        <f t="shared" si="0"/>
        <v>0</v>
      </c>
      <c r="P32" s="46"/>
      <c r="Q32" s="16"/>
    </row>
    <row r="33" spans="1:17">
      <c r="A33" s="155" t="s">
        <v>103</v>
      </c>
      <c r="B33" s="243">
        <v>0</v>
      </c>
      <c r="C33" s="78">
        <v>80</v>
      </c>
      <c r="D33" s="43">
        <v>30</v>
      </c>
      <c r="E33" s="97">
        <v>60</v>
      </c>
      <c r="F33" s="78"/>
      <c r="G33" s="58">
        <v>12</v>
      </c>
      <c r="H33" s="58"/>
      <c r="I33" s="58" t="s">
        <v>386</v>
      </c>
      <c r="J33" s="43"/>
      <c r="K33" s="323">
        <v>120</v>
      </c>
      <c r="L33" s="19">
        <f t="shared" si="1"/>
        <v>0</v>
      </c>
      <c r="M33" s="19">
        <f t="shared" si="2"/>
        <v>0</v>
      </c>
      <c r="N33" s="19">
        <f t="shared" si="3"/>
        <v>0</v>
      </c>
      <c r="O33" s="19">
        <f t="shared" si="0"/>
        <v>0</v>
      </c>
      <c r="P33" s="46"/>
      <c r="Q33" s="16"/>
    </row>
    <row r="34" spans="1:17">
      <c r="A34" s="156" t="s">
        <v>104</v>
      </c>
      <c r="B34" s="243">
        <v>0</v>
      </c>
      <c r="C34" s="78">
        <v>150</v>
      </c>
      <c r="D34" s="43">
        <v>100</v>
      </c>
      <c r="E34" s="97">
        <v>250</v>
      </c>
      <c r="F34" s="78"/>
      <c r="G34" s="58">
        <v>12</v>
      </c>
      <c r="H34" s="58"/>
      <c r="I34" s="58" t="s">
        <v>387</v>
      </c>
      <c r="J34" s="43"/>
      <c r="K34" s="323">
        <v>120</v>
      </c>
      <c r="L34" s="19">
        <f t="shared" si="1"/>
        <v>0</v>
      </c>
      <c r="M34" s="19">
        <f t="shared" si="2"/>
        <v>0</v>
      </c>
      <c r="N34" s="19">
        <f t="shared" si="3"/>
        <v>0</v>
      </c>
      <c r="O34" s="19">
        <f t="shared" si="0"/>
        <v>0</v>
      </c>
      <c r="P34" s="46" t="s">
        <v>76</v>
      </c>
      <c r="Q34" s="16"/>
    </row>
    <row r="35" spans="1:17">
      <c r="A35" s="156" t="s">
        <v>105</v>
      </c>
      <c r="B35" s="243">
        <v>0</v>
      </c>
      <c r="C35" s="78">
        <v>100</v>
      </c>
      <c r="D35" s="43">
        <v>50</v>
      </c>
      <c r="E35" s="97">
        <v>125</v>
      </c>
      <c r="F35" s="78"/>
      <c r="G35" s="58">
        <v>12</v>
      </c>
      <c r="H35" s="58"/>
      <c r="I35" s="58" t="s">
        <v>387</v>
      </c>
      <c r="J35" s="43"/>
      <c r="K35" s="323">
        <v>120</v>
      </c>
      <c r="L35" s="19">
        <f t="shared" si="1"/>
        <v>0</v>
      </c>
      <c r="M35" s="19">
        <f t="shared" si="2"/>
        <v>0</v>
      </c>
      <c r="N35" s="19">
        <f t="shared" si="3"/>
        <v>0</v>
      </c>
      <c r="O35" s="19">
        <f t="shared" si="0"/>
        <v>0</v>
      </c>
      <c r="P35" s="46" t="s">
        <v>76</v>
      </c>
      <c r="Q35" s="16"/>
    </row>
    <row r="36" spans="1:17">
      <c r="A36" s="169" t="s">
        <v>106</v>
      </c>
      <c r="B36" s="243">
        <v>0</v>
      </c>
      <c r="C36" s="78">
        <v>400</v>
      </c>
      <c r="D36" s="43">
        <v>300</v>
      </c>
      <c r="E36" s="97">
        <v>350</v>
      </c>
      <c r="F36" s="78"/>
      <c r="G36" s="58">
        <v>12</v>
      </c>
      <c r="H36" s="58"/>
      <c r="I36" s="58" t="s">
        <v>387</v>
      </c>
      <c r="J36" s="43"/>
      <c r="K36" s="323">
        <v>120</v>
      </c>
      <c r="L36" s="19">
        <f t="shared" si="1"/>
        <v>0</v>
      </c>
      <c r="M36" s="19">
        <f t="shared" si="2"/>
        <v>0</v>
      </c>
      <c r="N36" s="19">
        <f t="shared" si="3"/>
        <v>0</v>
      </c>
      <c r="O36" s="19">
        <f t="shared" si="0"/>
        <v>0</v>
      </c>
      <c r="P36" s="46" t="s">
        <v>76</v>
      </c>
      <c r="Q36" s="16"/>
    </row>
    <row r="37" spans="1:17" ht="15.75" thickBot="1">
      <c r="A37" s="157" t="s">
        <v>107</v>
      </c>
      <c r="B37" s="244">
        <v>0</v>
      </c>
      <c r="C37" s="79">
        <v>300</v>
      </c>
      <c r="D37" s="47">
        <v>200</v>
      </c>
      <c r="E37" s="98">
        <v>500</v>
      </c>
      <c r="F37" s="79"/>
      <c r="G37" s="57">
        <v>12</v>
      </c>
      <c r="H37" s="57"/>
      <c r="I37" s="57" t="s">
        <v>387</v>
      </c>
      <c r="J37" s="47"/>
      <c r="K37" s="325">
        <v>120</v>
      </c>
      <c r="L37" s="21">
        <f t="shared" si="1"/>
        <v>0</v>
      </c>
      <c r="M37" s="21">
        <f t="shared" si="2"/>
        <v>0</v>
      </c>
      <c r="N37" s="21">
        <f t="shared" si="3"/>
        <v>0</v>
      </c>
      <c r="O37" s="21">
        <f t="shared" si="0"/>
        <v>0</v>
      </c>
      <c r="P37" s="17"/>
      <c r="Q37" s="17"/>
    </row>
    <row r="38" spans="1:17">
      <c r="A38" s="152" t="s">
        <v>520</v>
      </c>
      <c r="B38" s="242">
        <v>0</v>
      </c>
      <c r="C38" s="77">
        <v>2</v>
      </c>
      <c r="D38" s="13">
        <v>40</v>
      </c>
      <c r="E38" s="51">
        <v>10</v>
      </c>
      <c r="F38" s="13">
        <v>4</v>
      </c>
      <c r="G38" s="58">
        <v>2</v>
      </c>
      <c r="H38" s="58">
        <v>4</v>
      </c>
      <c r="I38" s="58" t="s">
        <v>386</v>
      </c>
      <c r="J38" s="13">
        <v>1</v>
      </c>
      <c r="K38" s="51">
        <v>150</v>
      </c>
      <c r="L38" s="40">
        <f t="shared" si="1"/>
        <v>0</v>
      </c>
      <c r="M38" s="40">
        <f t="shared" si="2"/>
        <v>0</v>
      </c>
      <c r="N38" s="40">
        <f t="shared" si="3"/>
        <v>0</v>
      </c>
      <c r="O38" s="40">
        <f t="shared" si="0"/>
        <v>0</v>
      </c>
      <c r="P38" s="36"/>
      <c r="Q38" s="42" t="s">
        <v>109</v>
      </c>
    </row>
    <row r="39" spans="1:17">
      <c r="A39" s="153" t="s">
        <v>108</v>
      </c>
      <c r="B39" s="243">
        <v>0</v>
      </c>
      <c r="C39" s="78">
        <v>2</v>
      </c>
      <c r="D39" s="43">
        <v>40</v>
      </c>
      <c r="E39" s="97">
        <v>20</v>
      </c>
      <c r="F39" s="43">
        <v>8</v>
      </c>
      <c r="G39" s="58">
        <v>12</v>
      </c>
      <c r="H39" s="58"/>
      <c r="I39" s="58" t="s">
        <v>386</v>
      </c>
      <c r="J39" s="43">
        <v>1</v>
      </c>
      <c r="K39" s="323">
        <v>150</v>
      </c>
      <c r="L39" s="19">
        <f t="shared" si="1"/>
        <v>0</v>
      </c>
      <c r="M39" s="19">
        <f t="shared" si="2"/>
        <v>0</v>
      </c>
      <c r="N39" s="19">
        <f t="shared" si="3"/>
        <v>0</v>
      </c>
      <c r="O39" s="19">
        <f t="shared" si="0"/>
        <v>0</v>
      </c>
      <c r="P39" s="46"/>
      <c r="Q39" s="45" t="s">
        <v>109</v>
      </c>
    </row>
    <row r="40" spans="1:17">
      <c r="A40" s="155" t="s">
        <v>110</v>
      </c>
      <c r="B40" s="243">
        <v>0</v>
      </c>
      <c r="C40" s="78">
        <v>2</v>
      </c>
      <c r="D40" s="43">
        <v>40</v>
      </c>
      <c r="E40" s="97">
        <v>20</v>
      </c>
      <c r="F40" s="43">
        <v>8</v>
      </c>
      <c r="G40" s="58">
        <v>12</v>
      </c>
      <c r="H40" s="58"/>
      <c r="I40" s="58" t="s">
        <v>386</v>
      </c>
      <c r="J40" s="43"/>
      <c r="K40" s="323">
        <v>150</v>
      </c>
      <c r="L40" s="19">
        <f t="shared" si="1"/>
        <v>0</v>
      </c>
      <c r="M40" s="19">
        <f t="shared" si="2"/>
        <v>0</v>
      </c>
      <c r="N40" s="19">
        <f t="shared" si="3"/>
        <v>0</v>
      </c>
      <c r="O40" s="19">
        <f t="shared" si="0"/>
        <v>0</v>
      </c>
      <c r="P40" s="46"/>
      <c r="Q40" s="45" t="s">
        <v>81</v>
      </c>
    </row>
    <row r="41" spans="1:17">
      <c r="A41" s="156" t="s">
        <v>111</v>
      </c>
      <c r="B41" s="243">
        <v>0</v>
      </c>
      <c r="C41" s="78">
        <v>2</v>
      </c>
      <c r="D41" s="43">
        <v>40</v>
      </c>
      <c r="E41" s="97">
        <v>50</v>
      </c>
      <c r="F41" s="43">
        <v>20</v>
      </c>
      <c r="G41" s="58">
        <v>12</v>
      </c>
      <c r="H41" s="58"/>
      <c r="I41" s="58" t="s">
        <v>386</v>
      </c>
      <c r="J41" s="43"/>
      <c r="K41" s="323">
        <v>150</v>
      </c>
      <c r="L41" s="19">
        <f t="shared" si="1"/>
        <v>0</v>
      </c>
      <c r="M41" s="19">
        <f t="shared" si="2"/>
        <v>0</v>
      </c>
      <c r="N41" s="19">
        <f t="shared" si="3"/>
        <v>0</v>
      </c>
      <c r="O41" s="19">
        <f t="shared" si="0"/>
        <v>0</v>
      </c>
      <c r="P41" s="46"/>
      <c r="Q41" s="45" t="s">
        <v>112</v>
      </c>
    </row>
    <row r="42" spans="1:17" ht="15.75" thickBot="1">
      <c r="A42" s="157" t="s">
        <v>113</v>
      </c>
      <c r="B42" s="244">
        <v>0</v>
      </c>
      <c r="C42" s="78">
        <v>2</v>
      </c>
      <c r="D42" s="43">
        <v>40</v>
      </c>
      <c r="E42" s="97">
        <v>200</v>
      </c>
      <c r="F42" s="43">
        <v>100</v>
      </c>
      <c r="G42" s="58">
        <v>12</v>
      </c>
      <c r="H42" s="58"/>
      <c r="I42" s="58" t="s">
        <v>386</v>
      </c>
      <c r="J42" s="43"/>
      <c r="K42" s="323">
        <v>150</v>
      </c>
      <c r="L42" s="21">
        <f t="shared" si="1"/>
        <v>0</v>
      </c>
      <c r="M42" s="21">
        <f t="shared" si="2"/>
        <v>0</v>
      </c>
      <c r="N42" s="21">
        <f t="shared" si="3"/>
        <v>0</v>
      </c>
      <c r="O42" s="21">
        <f t="shared" si="0"/>
        <v>0</v>
      </c>
      <c r="P42" s="53"/>
      <c r="Q42" s="49" t="s">
        <v>114</v>
      </c>
    </row>
    <row r="43" spans="1:17">
      <c r="A43" s="152" t="s">
        <v>649</v>
      </c>
      <c r="B43" s="242">
        <v>0</v>
      </c>
      <c r="C43" s="37">
        <v>100</v>
      </c>
      <c r="D43" s="38">
        <v>80</v>
      </c>
      <c r="E43" s="50">
        <v>120</v>
      </c>
      <c r="F43" s="37"/>
      <c r="G43" s="68">
        <v>7</v>
      </c>
      <c r="H43" s="68">
        <v>15</v>
      </c>
      <c r="I43" s="68" t="s">
        <v>387</v>
      </c>
      <c r="J43" s="38">
        <v>10</v>
      </c>
      <c r="K43" s="50">
        <v>200</v>
      </c>
      <c r="L43" s="40">
        <f t="shared" si="1"/>
        <v>0</v>
      </c>
      <c r="M43" s="40">
        <f t="shared" si="2"/>
        <v>0</v>
      </c>
      <c r="N43" s="40">
        <f t="shared" si="3"/>
        <v>0</v>
      </c>
      <c r="O43" s="40">
        <f t="shared" si="0"/>
        <v>0</v>
      </c>
      <c r="P43" s="36"/>
      <c r="Q43" s="42"/>
    </row>
    <row r="44" spans="1:17">
      <c r="A44" s="153" t="s">
        <v>115</v>
      </c>
      <c r="B44" s="243">
        <v>0</v>
      </c>
      <c r="C44" s="78">
        <v>150</v>
      </c>
      <c r="D44" s="43">
        <v>100</v>
      </c>
      <c r="E44" s="97">
        <v>125</v>
      </c>
      <c r="F44" s="78"/>
      <c r="G44" s="58">
        <v>15</v>
      </c>
      <c r="H44" s="58"/>
      <c r="I44" s="58" t="s">
        <v>387</v>
      </c>
      <c r="J44" s="43"/>
      <c r="K44" s="51">
        <v>200</v>
      </c>
      <c r="L44" s="19">
        <f t="shared" si="1"/>
        <v>0</v>
      </c>
      <c r="M44" s="19">
        <f t="shared" si="2"/>
        <v>0</v>
      </c>
      <c r="N44" s="19">
        <f t="shared" si="3"/>
        <v>0</v>
      </c>
      <c r="O44" s="19">
        <f t="shared" si="0"/>
        <v>0</v>
      </c>
      <c r="P44" s="46"/>
      <c r="Q44" s="26"/>
    </row>
    <row r="45" spans="1:17">
      <c r="A45" s="153" t="s">
        <v>116</v>
      </c>
      <c r="B45" s="243">
        <v>0</v>
      </c>
      <c r="C45" s="78">
        <v>100</v>
      </c>
      <c r="D45" s="43">
        <v>140</v>
      </c>
      <c r="E45" s="97">
        <v>120</v>
      </c>
      <c r="F45" s="78"/>
      <c r="G45" s="58">
        <v>15</v>
      </c>
      <c r="H45" s="58"/>
      <c r="I45" s="58" t="s">
        <v>387</v>
      </c>
      <c r="J45" s="43"/>
      <c r="K45" s="51">
        <v>200</v>
      </c>
      <c r="L45" s="19">
        <f t="shared" si="1"/>
        <v>0</v>
      </c>
      <c r="M45" s="19">
        <f t="shared" si="2"/>
        <v>0</v>
      </c>
      <c r="N45" s="19">
        <f t="shared" si="3"/>
        <v>0</v>
      </c>
      <c r="O45" s="19">
        <f t="shared" si="0"/>
        <v>0</v>
      </c>
      <c r="P45" s="46"/>
      <c r="Q45" s="26"/>
    </row>
    <row r="46" spans="1:17">
      <c r="A46" s="153" t="s">
        <v>117</v>
      </c>
      <c r="B46" s="243">
        <v>0</v>
      </c>
      <c r="C46" s="78">
        <v>220</v>
      </c>
      <c r="D46" s="43">
        <v>45</v>
      </c>
      <c r="E46" s="97">
        <v>120</v>
      </c>
      <c r="F46" s="78"/>
      <c r="G46" s="58">
        <v>15</v>
      </c>
      <c r="H46" s="58"/>
      <c r="I46" s="58" t="s">
        <v>386</v>
      </c>
      <c r="J46" s="43"/>
      <c r="K46" s="51">
        <v>200</v>
      </c>
      <c r="L46" s="19">
        <f t="shared" si="1"/>
        <v>0</v>
      </c>
      <c r="M46" s="19">
        <f t="shared" si="2"/>
        <v>0</v>
      </c>
      <c r="N46" s="19">
        <f t="shared" si="3"/>
        <v>0</v>
      </c>
      <c r="O46" s="19">
        <f t="shared" si="0"/>
        <v>0</v>
      </c>
      <c r="P46" s="46"/>
      <c r="Q46" s="26"/>
    </row>
    <row r="47" spans="1:17">
      <c r="A47" s="153" t="s">
        <v>118</v>
      </c>
      <c r="B47" s="243">
        <v>0</v>
      </c>
      <c r="C47" s="78">
        <v>275</v>
      </c>
      <c r="D47" s="43">
        <v>40</v>
      </c>
      <c r="E47" s="97">
        <v>60</v>
      </c>
      <c r="F47" s="78"/>
      <c r="G47" s="58">
        <v>15</v>
      </c>
      <c r="H47" s="58"/>
      <c r="I47" s="58" t="s">
        <v>388</v>
      </c>
      <c r="J47" s="43"/>
      <c r="K47" s="51">
        <v>200</v>
      </c>
      <c r="L47" s="19">
        <f t="shared" si="1"/>
        <v>0</v>
      </c>
      <c r="M47" s="19">
        <f t="shared" si="2"/>
        <v>0</v>
      </c>
      <c r="N47" s="19">
        <f t="shared" si="3"/>
        <v>0</v>
      </c>
      <c r="O47" s="19">
        <f t="shared" si="0"/>
        <v>0</v>
      </c>
      <c r="P47" s="46"/>
      <c r="Q47" s="26"/>
    </row>
    <row r="48" spans="1:17">
      <c r="A48" s="153" t="s">
        <v>119</v>
      </c>
      <c r="B48" s="243">
        <v>0</v>
      </c>
      <c r="C48" s="78">
        <v>90</v>
      </c>
      <c r="D48" s="43">
        <v>120</v>
      </c>
      <c r="E48" s="97">
        <v>175</v>
      </c>
      <c r="F48" s="78"/>
      <c r="G48" s="58">
        <v>15</v>
      </c>
      <c r="H48" s="58"/>
      <c r="I48" s="58" t="s">
        <v>387</v>
      </c>
      <c r="J48" s="43"/>
      <c r="K48" s="51">
        <v>200</v>
      </c>
      <c r="L48" s="19">
        <f t="shared" si="1"/>
        <v>0</v>
      </c>
      <c r="M48" s="19">
        <f t="shared" si="2"/>
        <v>0</v>
      </c>
      <c r="N48" s="19">
        <f t="shared" si="3"/>
        <v>0</v>
      </c>
      <c r="O48" s="19">
        <f t="shared" si="0"/>
        <v>0</v>
      </c>
      <c r="P48" s="46"/>
      <c r="Q48" s="26"/>
    </row>
    <row r="49" spans="1:17">
      <c r="A49" s="153" t="s">
        <v>120</v>
      </c>
      <c r="B49" s="243">
        <v>0</v>
      </c>
      <c r="C49" s="78">
        <v>125</v>
      </c>
      <c r="D49" s="43">
        <v>100</v>
      </c>
      <c r="E49" s="97">
        <v>150</v>
      </c>
      <c r="F49" s="78"/>
      <c r="G49" s="58">
        <v>15</v>
      </c>
      <c r="H49" s="58"/>
      <c r="I49" s="58" t="s">
        <v>387</v>
      </c>
      <c r="J49" s="43"/>
      <c r="K49" s="51">
        <v>200</v>
      </c>
      <c r="L49" s="19">
        <f t="shared" si="1"/>
        <v>0</v>
      </c>
      <c r="M49" s="19">
        <f t="shared" si="2"/>
        <v>0</v>
      </c>
      <c r="N49" s="19">
        <f t="shared" si="3"/>
        <v>0</v>
      </c>
      <c r="O49" s="19">
        <f t="shared" si="0"/>
        <v>0</v>
      </c>
      <c r="P49" s="46"/>
      <c r="Q49" s="26"/>
    </row>
    <row r="50" spans="1:17">
      <c r="A50" s="155" t="s">
        <v>121</v>
      </c>
      <c r="B50" s="243">
        <v>0</v>
      </c>
      <c r="C50" s="78">
        <v>100</v>
      </c>
      <c r="D50" s="43">
        <v>110</v>
      </c>
      <c r="E50" s="97">
        <v>180</v>
      </c>
      <c r="F50" s="78"/>
      <c r="G50" s="58">
        <v>15</v>
      </c>
      <c r="H50" s="58"/>
      <c r="I50" s="58" t="s">
        <v>387</v>
      </c>
      <c r="J50" s="43"/>
      <c r="K50" s="51">
        <v>200</v>
      </c>
      <c r="L50" s="19">
        <f t="shared" si="1"/>
        <v>0</v>
      </c>
      <c r="M50" s="19">
        <f t="shared" si="2"/>
        <v>0</v>
      </c>
      <c r="N50" s="19">
        <f t="shared" si="3"/>
        <v>0</v>
      </c>
      <c r="O50" s="19">
        <f t="shared" si="0"/>
        <v>0</v>
      </c>
      <c r="P50" s="46"/>
      <c r="Q50" s="26"/>
    </row>
    <row r="51" spans="1:17">
      <c r="A51" s="155" t="s">
        <v>122</v>
      </c>
      <c r="B51" s="243">
        <v>0</v>
      </c>
      <c r="C51" s="78">
        <v>200</v>
      </c>
      <c r="D51" s="43">
        <v>100</v>
      </c>
      <c r="E51" s="97">
        <v>235</v>
      </c>
      <c r="F51" s="78"/>
      <c r="G51" s="58">
        <v>15</v>
      </c>
      <c r="H51" s="58"/>
      <c r="I51" s="58" t="s">
        <v>387</v>
      </c>
      <c r="J51" s="43"/>
      <c r="K51" s="51">
        <v>200</v>
      </c>
      <c r="L51" s="19">
        <f t="shared" si="1"/>
        <v>0</v>
      </c>
      <c r="M51" s="19">
        <f t="shared" si="2"/>
        <v>0</v>
      </c>
      <c r="N51" s="19">
        <f t="shared" si="3"/>
        <v>0</v>
      </c>
      <c r="O51" s="19">
        <f t="shared" si="0"/>
        <v>0</v>
      </c>
      <c r="P51" s="46"/>
      <c r="Q51" s="26"/>
    </row>
    <row r="52" spans="1:17">
      <c r="A52" s="155" t="s">
        <v>123</v>
      </c>
      <c r="B52" s="243">
        <v>0</v>
      </c>
      <c r="C52" s="78">
        <v>175</v>
      </c>
      <c r="D52" s="43">
        <v>140</v>
      </c>
      <c r="E52" s="97">
        <v>210</v>
      </c>
      <c r="F52" s="78"/>
      <c r="G52" s="58">
        <v>15</v>
      </c>
      <c r="H52" s="58"/>
      <c r="I52" s="58" t="s">
        <v>387</v>
      </c>
      <c r="J52" s="43"/>
      <c r="K52" s="51">
        <v>200</v>
      </c>
      <c r="L52" s="19">
        <f t="shared" si="1"/>
        <v>0</v>
      </c>
      <c r="M52" s="19">
        <f t="shared" si="2"/>
        <v>0</v>
      </c>
      <c r="N52" s="19">
        <f t="shared" si="3"/>
        <v>0</v>
      </c>
      <c r="O52" s="19">
        <f t="shared" si="0"/>
        <v>0</v>
      </c>
      <c r="P52" s="46"/>
      <c r="Q52" s="26"/>
    </row>
    <row r="53" spans="1:17">
      <c r="A53" s="155" t="s">
        <v>124</v>
      </c>
      <c r="B53" s="243">
        <v>0</v>
      </c>
      <c r="C53" s="78">
        <v>125</v>
      </c>
      <c r="D53" s="43">
        <v>100</v>
      </c>
      <c r="E53" s="97">
        <v>150</v>
      </c>
      <c r="F53" s="78">
        <v>108</v>
      </c>
      <c r="G53" s="58">
        <v>15</v>
      </c>
      <c r="H53" s="58"/>
      <c r="I53" s="58" t="s">
        <v>387</v>
      </c>
      <c r="J53" s="43"/>
      <c r="K53" s="51">
        <v>200</v>
      </c>
      <c r="L53" s="19">
        <f t="shared" si="1"/>
        <v>0</v>
      </c>
      <c r="M53" s="19">
        <f t="shared" si="2"/>
        <v>0</v>
      </c>
      <c r="N53" s="19">
        <f t="shared" si="3"/>
        <v>0</v>
      </c>
      <c r="O53" s="19">
        <f t="shared" si="0"/>
        <v>0</v>
      </c>
      <c r="P53" s="46"/>
      <c r="Q53" s="45" t="s">
        <v>125</v>
      </c>
    </row>
    <row r="54" spans="1:17">
      <c r="A54" s="156" t="s">
        <v>126</v>
      </c>
      <c r="B54" s="243">
        <v>0</v>
      </c>
      <c r="C54" s="78">
        <v>350</v>
      </c>
      <c r="D54" s="43">
        <v>280</v>
      </c>
      <c r="E54" s="97">
        <v>420</v>
      </c>
      <c r="F54" s="78"/>
      <c r="G54" s="58">
        <v>15</v>
      </c>
      <c r="H54" s="58"/>
      <c r="I54" s="58" t="s">
        <v>387</v>
      </c>
      <c r="J54" s="43"/>
      <c r="K54" s="51">
        <v>200</v>
      </c>
      <c r="L54" s="19">
        <f t="shared" si="1"/>
        <v>0</v>
      </c>
      <c r="M54" s="19">
        <f t="shared" si="2"/>
        <v>0</v>
      </c>
      <c r="N54" s="19">
        <f t="shared" si="3"/>
        <v>0</v>
      </c>
      <c r="O54" s="19">
        <f t="shared" si="0"/>
        <v>0</v>
      </c>
      <c r="P54" s="46"/>
      <c r="Q54" s="26"/>
    </row>
    <row r="55" spans="1:17">
      <c r="A55" s="156" t="s">
        <v>127</v>
      </c>
      <c r="B55" s="243">
        <v>0</v>
      </c>
      <c r="C55" s="78">
        <v>550</v>
      </c>
      <c r="D55" s="43">
        <v>230</v>
      </c>
      <c r="E55" s="97">
        <v>420</v>
      </c>
      <c r="F55" s="78"/>
      <c r="G55" s="58">
        <v>15</v>
      </c>
      <c r="H55" s="58"/>
      <c r="I55" s="58" t="s">
        <v>387</v>
      </c>
      <c r="J55" s="43"/>
      <c r="K55" s="51">
        <v>200</v>
      </c>
      <c r="L55" s="19">
        <f t="shared" si="1"/>
        <v>0</v>
      </c>
      <c r="M55" s="19">
        <f t="shared" si="2"/>
        <v>0</v>
      </c>
      <c r="N55" s="19">
        <f t="shared" si="3"/>
        <v>0</v>
      </c>
      <c r="O55" s="19">
        <f t="shared" si="0"/>
        <v>0</v>
      </c>
      <c r="P55" s="46"/>
      <c r="Q55" s="26"/>
    </row>
    <row r="56" spans="1:17" ht="15.75" thickBot="1">
      <c r="A56" s="157" t="s">
        <v>128</v>
      </c>
      <c r="B56" s="244">
        <v>0</v>
      </c>
      <c r="C56" s="79">
        <v>800</v>
      </c>
      <c r="D56" s="47">
        <v>640</v>
      </c>
      <c r="E56" s="98">
        <v>960</v>
      </c>
      <c r="F56" s="79"/>
      <c r="G56" s="57">
        <v>15</v>
      </c>
      <c r="H56" s="57"/>
      <c r="I56" s="57" t="s">
        <v>387</v>
      </c>
      <c r="J56" s="47"/>
      <c r="K56" s="52">
        <v>200</v>
      </c>
      <c r="L56" s="21">
        <f t="shared" si="1"/>
        <v>0</v>
      </c>
      <c r="M56" s="21">
        <f t="shared" si="2"/>
        <v>0</v>
      </c>
      <c r="N56" s="21">
        <f t="shared" si="3"/>
        <v>0</v>
      </c>
      <c r="O56" s="21">
        <f t="shared" si="0"/>
        <v>0</v>
      </c>
      <c r="P56" s="53" t="s">
        <v>76</v>
      </c>
      <c r="Q56" s="54"/>
    </row>
    <row r="57" spans="1:17">
      <c r="A57" s="152" t="s">
        <v>523</v>
      </c>
      <c r="B57" s="242">
        <v>0</v>
      </c>
      <c r="C57" s="77">
        <v>80</v>
      </c>
      <c r="D57" s="13">
        <v>105</v>
      </c>
      <c r="E57" s="51">
        <v>130</v>
      </c>
      <c r="F57" s="13"/>
      <c r="G57" s="58">
        <v>9</v>
      </c>
      <c r="H57" s="58">
        <v>15</v>
      </c>
      <c r="I57" s="58" t="s">
        <v>38</v>
      </c>
      <c r="J57" s="13">
        <v>1</v>
      </c>
      <c r="K57" s="51">
        <v>230</v>
      </c>
      <c r="L57" s="40">
        <f t="shared" si="1"/>
        <v>0</v>
      </c>
      <c r="M57" s="40">
        <f t="shared" si="2"/>
        <v>0</v>
      </c>
      <c r="N57" s="40">
        <f t="shared" si="3"/>
        <v>0</v>
      </c>
      <c r="O57" s="40">
        <f t="shared" si="0"/>
        <v>0</v>
      </c>
      <c r="P57" s="36"/>
      <c r="Q57" s="36"/>
    </row>
    <row r="58" spans="1:17">
      <c r="A58" s="153" t="s">
        <v>129</v>
      </c>
      <c r="B58" s="243">
        <v>0</v>
      </c>
      <c r="C58" s="78">
        <v>72</v>
      </c>
      <c r="D58" s="43">
        <v>95</v>
      </c>
      <c r="E58" s="97">
        <v>117</v>
      </c>
      <c r="F58" s="43"/>
      <c r="G58" s="58">
        <v>10</v>
      </c>
      <c r="H58" s="58"/>
      <c r="I58" s="58" t="s">
        <v>38</v>
      </c>
      <c r="J58" s="43"/>
      <c r="K58" s="51">
        <v>230</v>
      </c>
      <c r="L58" s="19">
        <f t="shared" si="1"/>
        <v>0</v>
      </c>
      <c r="M58" s="19">
        <f t="shared" si="2"/>
        <v>0</v>
      </c>
      <c r="N58" s="19">
        <f t="shared" si="3"/>
        <v>0</v>
      </c>
      <c r="O58" s="19">
        <f t="shared" si="0"/>
        <v>0</v>
      </c>
      <c r="P58" s="46"/>
      <c r="Q58" s="16"/>
    </row>
    <row r="59" spans="1:17">
      <c r="A59" s="153" t="s">
        <v>130</v>
      </c>
      <c r="B59" s="243">
        <v>0</v>
      </c>
      <c r="C59" s="78">
        <v>120</v>
      </c>
      <c r="D59" s="43">
        <v>155</v>
      </c>
      <c r="E59" s="97">
        <v>130</v>
      </c>
      <c r="F59" s="43"/>
      <c r="G59" s="58">
        <v>10</v>
      </c>
      <c r="H59" s="58"/>
      <c r="I59" s="58" t="s">
        <v>38</v>
      </c>
      <c r="J59" s="43"/>
      <c r="K59" s="51">
        <v>230</v>
      </c>
      <c r="L59" s="19">
        <f t="shared" si="1"/>
        <v>0</v>
      </c>
      <c r="M59" s="19">
        <f t="shared" si="2"/>
        <v>0</v>
      </c>
      <c r="N59" s="19">
        <f t="shared" si="3"/>
        <v>0</v>
      </c>
      <c r="O59" s="19">
        <f t="shared" si="0"/>
        <v>0</v>
      </c>
      <c r="P59" s="46"/>
      <c r="Q59" s="16"/>
    </row>
    <row r="60" spans="1:17">
      <c r="A60" s="153" t="s">
        <v>131</v>
      </c>
      <c r="B60" s="243">
        <v>0</v>
      </c>
      <c r="C60" s="78">
        <v>140</v>
      </c>
      <c r="D60" s="43">
        <v>105</v>
      </c>
      <c r="E60" s="97">
        <v>130</v>
      </c>
      <c r="F60" s="43"/>
      <c r="G60" s="58">
        <v>10</v>
      </c>
      <c r="H60" s="58"/>
      <c r="I60" s="58" t="s">
        <v>38</v>
      </c>
      <c r="J60" s="43"/>
      <c r="K60" s="51">
        <v>230</v>
      </c>
      <c r="L60" s="19">
        <f t="shared" si="1"/>
        <v>0</v>
      </c>
      <c r="M60" s="19">
        <f t="shared" si="2"/>
        <v>0</v>
      </c>
      <c r="N60" s="19">
        <f t="shared" si="3"/>
        <v>0</v>
      </c>
      <c r="O60" s="19">
        <f t="shared" si="0"/>
        <v>0</v>
      </c>
      <c r="P60" s="46"/>
      <c r="Q60" s="16"/>
    </row>
    <row r="61" spans="1:17">
      <c r="A61" s="153" t="s">
        <v>132</v>
      </c>
      <c r="B61" s="243">
        <v>0</v>
      </c>
      <c r="C61" s="78">
        <v>85</v>
      </c>
      <c r="D61" s="43">
        <v>185</v>
      </c>
      <c r="E61" s="97">
        <v>140</v>
      </c>
      <c r="F61" s="43"/>
      <c r="G61" s="58">
        <v>10</v>
      </c>
      <c r="H61" s="58"/>
      <c r="I61" s="58" t="s">
        <v>38</v>
      </c>
      <c r="J61" s="43"/>
      <c r="K61" s="51">
        <v>230</v>
      </c>
      <c r="L61" s="19">
        <f t="shared" si="1"/>
        <v>0</v>
      </c>
      <c r="M61" s="19">
        <f t="shared" si="2"/>
        <v>0</v>
      </c>
      <c r="N61" s="19">
        <f t="shared" si="3"/>
        <v>0</v>
      </c>
      <c r="O61" s="19">
        <f t="shared" si="0"/>
        <v>0</v>
      </c>
      <c r="P61" s="46"/>
      <c r="Q61" s="16"/>
    </row>
    <row r="62" spans="1:17">
      <c r="A62" s="153" t="s">
        <v>133</v>
      </c>
      <c r="B62" s="243">
        <v>0</v>
      </c>
      <c r="C62" s="78">
        <v>140</v>
      </c>
      <c r="D62" s="43">
        <v>110</v>
      </c>
      <c r="E62" s="97">
        <v>135</v>
      </c>
      <c r="F62" s="43"/>
      <c r="G62" s="58">
        <v>10</v>
      </c>
      <c r="H62" s="58"/>
      <c r="I62" s="58" t="s">
        <v>38</v>
      </c>
      <c r="J62" s="43"/>
      <c r="K62" s="51">
        <v>230</v>
      </c>
      <c r="L62" s="19">
        <f t="shared" si="1"/>
        <v>0</v>
      </c>
      <c r="M62" s="19">
        <f t="shared" si="2"/>
        <v>0</v>
      </c>
      <c r="N62" s="19">
        <f t="shared" si="3"/>
        <v>0</v>
      </c>
      <c r="O62" s="19">
        <f t="shared" si="0"/>
        <v>0</v>
      </c>
      <c r="P62" s="46"/>
      <c r="Q62" s="16"/>
    </row>
    <row r="63" spans="1:17">
      <c r="A63" s="153" t="s">
        <v>134</v>
      </c>
      <c r="B63" s="243">
        <v>0</v>
      </c>
      <c r="C63" s="78">
        <v>140</v>
      </c>
      <c r="D63" s="43">
        <v>105</v>
      </c>
      <c r="E63" s="97">
        <v>130</v>
      </c>
      <c r="F63" s="43"/>
      <c r="G63" s="58">
        <v>10</v>
      </c>
      <c r="H63" s="58"/>
      <c r="I63" s="58" t="s">
        <v>38</v>
      </c>
      <c r="J63" s="43"/>
      <c r="K63" s="51">
        <v>230</v>
      </c>
      <c r="L63" s="19">
        <f t="shared" si="1"/>
        <v>0</v>
      </c>
      <c r="M63" s="19">
        <f t="shared" si="2"/>
        <v>0</v>
      </c>
      <c r="N63" s="19">
        <f t="shared" si="3"/>
        <v>0</v>
      </c>
      <c r="O63" s="19">
        <f t="shared" si="0"/>
        <v>0</v>
      </c>
      <c r="P63" s="46"/>
      <c r="Q63" s="16"/>
    </row>
    <row r="64" spans="1:17">
      <c r="A64" s="155" t="s">
        <v>135</v>
      </c>
      <c r="B64" s="243">
        <v>0</v>
      </c>
      <c r="C64" s="78">
        <v>140</v>
      </c>
      <c r="D64" s="43">
        <v>135</v>
      </c>
      <c r="E64" s="97">
        <v>170</v>
      </c>
      <c r="F64" s="43"/>
      <c r="G64" s="58">
        <v>10</v>
      </c>
      <c r="H64" s="58"/>
      <c r="I64" s="58" t="s">
        <v>38</v>
      </c>
      <c r="J64" s="43"/>
      <c r="K64" s="51">
        <v>230</v>
      </c>
      <c r="L64" s="19">
        <f t="shared" si="1"/>
        <v>0</v>
      </c>
      <c r="M64" s="19">
        <f t="shared" si="2"/>
        <v>0</v>
      </c>
      <c r="N64" s="19">
        <f t="shared" si="3"/>
        <v>0</v>
      </c>
      <c r="O64" s="19">
        <f t="shared" si="0"/>
        <v>0</v>
      </c>
      <c r="P64" s="46"/>
      <c r="Q64" s="16"/>
    </row>
    <row r="65" spans="1:17">
      <c r="A65" s="155" t="s">
        <v>136</v>
      </c>
      <c r="B65" s="243">
        <v>0</v>
      </c>
      <c r="C65" s="78">
        <v>180</v>
      </c>
      <c r="D65" s="43">
        <v>145</v>
      </c>
      <c r="E65" s="97">
        <v>200</v>
      </c>
      <c r="F65" s="43"/>
      <c r="G65" s="58">
        <v>10</v>
      </c>
      <c r="H65" s="58"/>
      <c r="I65" s="58" t="s">
        <v>384</v>
      </c>
      <c r="J65" s="43"/>
      <c r="K65" s="51">
        <v>230</v>
      </c>
      <c r="L65" s="19">
        <f t="shared" si="1"/>
        <v>0</v>
      </c>
      <c r="M65" s="19">
        <f t="shared" si="2"/>
        <v>0</v>
      </c>
      <c r="N65" s="19">
        <f t="shared" si="3"/>
        <v>0</v>
      </c>
      <c r="O65" s="19">
        <f t="shared" si="0"/>
        <v>0</v>
      </c>
      <c r="P65" s="46"/>
      <c r="Q65" s="16"/>
    </row>
    <row r="66" spans="1:17">
      <c r="A66" s="155" t="s">
        <v>137</v>
      </c>
      <c r="B66" s="243">
        <v>0</v>
      </c>
      <c r="C66" s="78">
        <v>200</v>
      </c>
      <c r="D66" s="43">
        <v>105</v>
      </c>
      <c r="E66" s="97">
        <v>225</v>
      </c>
      <c r="F66" s="43"/>
      <c r="G66" s="58">
        <v>10</v>
      </c>
      <c r="H66" s="58"/>
      <c r="I66" s="58" t="s">
        <v>38</v>
      </c>
      <c r="J66" s="43"/>
      <c r="K66" s="51">
        <v>230</v>
      </c>
      <c r="L66" s="19">
        <f t="shared" si="1"/>
        <v>0</v>
      </c>
      <c r="M66" s="19">
        <f t="shared" si="2"/>
        <v>0</v>
      </c>
      <c r="N66" s="19">
        <f t="shared" si="3"/>
        <v>0</v>
      </c>
      <c r="O66" s="19">
        <f t="shared" si="0"/>
        <v>0</v>
      </c>
      <c r="P66" s="46"/>
      <c r="Q66" s="16"/>
    </row>
    <row r="67" spans="1:17">
      <c r="A67" s="155" t="s">
        <v>138</v>
      </c>
      <c r="B67" s="243">
        <v>0</v>
      </c>
      <c r="C67" s="78">
        <v>15</v>
      </c>
      <c r="D67" s="43">
        <v>125</v>
      </c>
      <c r="E67" s="97">
        <v>500</v>
      </c>
      <c r="F67" s="43">
        <v>152</v>
      </c>
      <c r="G67" s="58">
        <v>10</v>
      </c>
      <c r="H67" s="58"/>
      <c r="I67" s="58" t="s">
        <v>388</v>
      </c>
      <c r="J67" s="43"/>
      <c r="K67" s="51">
        <v>230</v>
      </c>
      <c r="L67" s="19">
        <f t="shared" si="1"/>
        <v>0</v>
      </c>
      <c r="M67" s="19">
        <f t="shared" si="2"/>
        <v>0</v>
      </c>
      <c r="N67" s="19">
        <f t="shared" si="3"/>
        <v>0</v>
      </c>
      <c r="O67" s="19">
        <f t="shared" si="0"/>
        <v>0</v>
      </c>
      <c r="P67" s="46"/>
      <c r="Q67" s="46" t="s">
        <v>125</v>
      </c>
    </row>
    <row r="68" spans="1:17">
      <c r="A68" s="156" t="s">
        <v>139</v>
      </c>
      <c r="B68" s="243">
        <v>0</v>
      </c>
      <c r="C68" s="78">
        <v>400</v>
      </c>
      <c r="D68" s="43">
        <v>115</v>
      </c>
      <c r="E68" s="97">
        <v>200</v>
      </c>
      <c r="F68" s="43"/>
      <c r="G68" s="58">
        <v>10</v>
      </c>
      <c r="H68" s="58"/>
      <c r="I68" s="58" t="s">
        <v>38</v>
      </c>
      <c r="J68" s="43"/>
      <c r="K68" s="51">
        <v>230</v>
      </c>
      <c r="L68" s="19">
        <f t="shared" ref="L68:L151" si="4">$B68*C68</f>
        <v>0</v>
      </c>
      <c r="M68" s="19">
        <f t="shared" ref="M68:M151" si="5">$B68*D68</f>
        <v>0</v>
      </c>
      <c r="N68" s="19">
        <f t="shared" ref="N68:N151" si="6">$B68*E68</f>
        <v>0</v>
      </c>
      <c r="O68" s="19">
        <f t="shared" si="0"/>
        <v>0</v>
      </c>
      <c r="P68" s="46"/>
      <c r="Q68" s="16"/>
    </row>
    <row r="69" spans="1:17">
      <c r="A69" s="156" t="s">
        <v>140</v>
      </c>
      <c r="B69" s="243">
        <v>0</v>
      </c>
      <c r="C69" s="78">
        <v>250</v>
      </c>
      <c r="D69" s="43">
        <v>263</v>
      </c>
      <c r="E69" s="97">
        <v>525</v>
      </c>
      <c r="F69" s="43"/>
      <c r="G69" s="58">
        <v>10</v>
      </c>
      <c r="H69" s="58"/>
      <c r="I69" s="58" t="s">
        <v>38</v>
      </c>
      <c r="J69" s="43"/>
      <c r="K69" s="51">
        <v>230</v>
      </c>
      <c r="L69" s="19">
        <f t="shared" si="4"/>
        <v>0</v>
      </c>
      <c r="M69" s="19">
        <f t="shared" si="5"/>
        <v>0</v>
      </c>
      <c r="N69" s="19">
        <f t="shared" si="6"/>
        <v>0</v>
      </c>
      <c r="O69" s="19">
        <f t="shared" si="0"/>
        <v>0</v>
      </c>
      <c r="P69" s="46"/>
      <c r="Q69" s="16"/>
    </row>
    <row r="70" spans="1:17" ht="15.75" thickBot="1">
      <c r="A70" s="169" t="s">
        <v>141</v>
      </c>
      <c r="B70" s="243">
        <v>0</v>
      </c>
      <c r="C70" s="78">
        <v>700</v>
      </c>
      <c r="D70" s="43">
        <v>525</v>
      </c>
      <c r="E70" s="97">
        <v>650</v>
      </c>
      <c r="F70" s="43"/>
      <c r="G70" s="58">
        <v>10</v>
      </c>
      <c r="H70" s="58"/>
      <c r="I70" s="58" t="s">
        <v>38</v>
      </c>
      <c r="J70" s="43"/>
      <c r="K70" s="51">
        <v>230</v>
      </c>
      <c r="L70" s="19">
        <f t="shared" si="4"/>
        <v>0</v>
      </c>
      <c r="M70" s="19">
        <f t="shared" si="5"/>
        <v>0</v>
      </c>
      <c r="N70" s="19">
        <f t="shared" si="6"/>
        <v>0</v>
      </c>
      <c r="O70" s="19">
        <f t="shared" si="0"/>
        <v>0</v>
      </c>
      <c r="P70" s="46" t="s">
        <v>76</v>
      </c>
      <c r="Q70" s="16"/>
    </row>
    <row r="71" spans="1:17">
      <c r="A71" s="152" t="s">
        <v>650</v>
      </c>
      <c r="B71" s="242">
        <v>0</v>
      </c>
      <c r="C71" s="166">
        <v>10</v>
      </c>
      <c r="D71" s="167">
        <v>20</v>
      </c>
      <c r="E71" s="168">
        <v>50</v>
      </c>
      <c r="F71" s="167">
        <v>40</v>
      </c>
      <c r="G71" s="68">
        <v>10</v>
      </c>
      <c r="H71" s="68"/>
      <c r="I71" s="68" t="s">
        <v>565</v>
      </c>
      <c r="J71" s="167">
        <v>1</v>
      </c>
      <c r="K71" s="50">
        <v>150</v>
      </c>
      <c r="L71" s="40">
        <f t="shared" si="4"/>
        <v>0</v>
      </c>
      <c r="M71" s="40">
        <f t="shared" si="5"/>
        <v>0</v>
      </c>
      <c r="N71" s="40">
        <f t="shared" si="6"/>
        <v>0</v>
      </c>
      <c r="O71" s="40">
        <f t="shared" si="0"/>
        <v>0</v>
      </c>
      <c r="P71" s="55"/>
      <c r="Q71" s="42" t="s">
        <v>169</v>
      </c>
    </row>
    <row r="72" spans="1:17">
      <c r="A72" s="153" t="s">
        <v>561</v>
      </c>
      <c r="B72" s="243">
        <v>0</v>
      </c>
      <c r="C72" s="78">
        <v>15</v>
      </c>
      <c r="D72" s="43">
        <v>30</v>
      </c>
      <c r="E72" s="97">
        <v>75</v>
      </c>
      <c r="F72" s="43">
        <v>60</v>
      </c>
      <c r="G72" s="58">
        <v>10</v>
      </c>
      <c r="H72" s="58"/>
      <c r="I72" s="58" t="s">
        <v>565</v>
      </c>
      <c r="J72" s="43"/>
      <c r="K72" s="51">
        <v>150</v>
      </c>
      <c r="L72" s="19">
        <f t="shared" si="4"/>
        <v>0</v>
      </c>
      <c r="M72" s="19">
        <f t="shared" si="5"/>
        <v>0</v>
      </c>
      <c r="N72" s="19">
        <f t="shared" si="6"/>
        <v>0</v>
      </c>
      <c r="O72" s="19">
        <f t="shared" si="0"/>
        <v>0</v>
      </c>
      <c r="P72" s="46"/>
      <c r="Q72" s="26" t="s">
        <v>169</v>
      </c>
    </row>
    <row r="73" spans="1:17">
      <c r="A73" s="155" t="s">
        <v>562</v>
      </c>
      <c r="B73" s="243">
        <v>0</v>
      </c>
      <c r="C73" s="78">
        <v>20</v>
      </c>
      <c r="D73" s="43">
        <v>40</v>
      </c>
      <c r="E73" s="97">
        <v>100</v>
      </c>
      <c r="F73" s="43">
        <v>80</v>
      </c>
      <c r="G73" s="58">
        <v>10</v>
      </c>
      <c r="H73" s="58"/>
      <c r="I73" s="58" t="s">
        <v>565</v>
      </c>
      <c r="J73" s="43"/>
      <c r="K73" s="51">
        <v>150</v>
      </c>
      <c r="L73" s="19">
        <f t="shared" si="4"/>
        <v>0</v>
      </c>
      <c r="M73" s="19">
        <f t="shared" si="5"/>
        <v>0</v>
      </c>
      <c r="N73" s="19">
        <f t="shared" si="6"/>
        <v>0</v>
      </c>
      <c r="O73" s="19">
        <f t="shared" si="0"/>
        <v>0</v>
      </c>
      <c r="P73" s="46"/>
      <c r="Q73" s="26" t="s">
        <v>169</v>
      </c>
    </row>
    <row r="74" spans="1:17">
      <c r="A74" s="156" t="s">
        <v>563</v>
      </c>
      <c r="B74" s="243">
        <v>0</v>
      </c>
      <c r="C74" s="78">
        <v>30</v>
      </c>
      <c r="D74" s="43">
        <v>60</v>
      </c>
      <c r="E74" s="97">
        <v>150</v>
      </c>
      <c r="F74" s="43">
        <v>120</v>
      </c>
      <c r="G74" s="58">
        <v>10</v>
      </c>
      <c r="H74" s="58"/>
      <c r="I74" s="58" t="s">
        <v>565</v>
      </c>
      <c r="J74" s="43"/>
      <c r="K74" s="51">
        <v>150</v>
      </c>
      <c r="L74" s="19">
        <f t="shared" si="4"/>
        <v>0</v>
      </c>
      <c r="M74" s="19">
        <f t="shared" si="5"/>
        <v>0</v>
      </c>
      <c r="N74" s="19">
        <f t="shared" si="6"/>
        <v>0</v>
      </c>
      <c r="O74" s="19">
        <f t="shared" si="0"/>
        <v>0</v>
      </c>
      <c r="P74" s="46"/>
      <c r="Q74" s="26" t="s">
        <v>346</v>
      </c>
    </row>
    <row r="75" spans="1:17" ht="15.75" thickBot="1">
      <c r="A75" s="157" t="s">
        <v>564</v>
      </c>
      <c r="B75" s="244">
        <v>0</v>
      </c>
      <c r="C75" s="79">
        <v>40</v>
      </c>
      <c r="D75" s="47">
        <v>80</v>
      </c>
      <c r="E75" s="98">
        <v>200</v>
      </c>
      <c r="F75" s="47">
        <v>160</v>
      </c>
      <c r="G75" s="57">
        <v>10</v>
      </c>
      <c r="H75" s="57"/>
      <c r="I75" s="57" t="s">
        <v>390</v>
      </c>
      <c r="J75" s="47"/>
      <c r="K75" s="51">
        <v>150</v>
      </c>
      <c r="L75" s="19">
        <f t="shared" si="4"/>
        <v>0</v>
      </c>
      <c r="M75" s="21">
        <f t="shared" si="5"/>
        <v>0</v>
      </c>
      <c r="N75" s="21">
        <f t="shared" si="6"/>
        <v>0</v>
      </c>
      <c r="O75" s="21">
        <f t="shared" si="0"/>
        <v>0</v>
      </c>
      <c r="P75" s="53"/>
      <c r="Q75" s="54" t="s">
        <v>346</v>
      </c>
    </row>
    <row r="76" spans="1:17">
      <c r="A76" s="152" t="s">
        <v>651</v>
      </c>
      <c r="B76" s="242">
        <v>0</v>
      </c>
      <c r="C76" s="37">
        <v>125</v>
      </c>
      <c r="D76" s="38">
        <v>210</v>
      </c>
      <c r="E76" s="50">
        <v>150</v>
      </c>
      <c r="F76" s="38"/>
      <c r="G76" s="68">
        <v>12</v>
      </c>
      <c r="H76" s="68">
        <v>30</v>
      </c>
      <c r="I76" s="68" t="s">
        <v>388</v>
      </c>
      <c r="J76" s="38"/>
      <c r="K76" s="50">
        <v>270</v>
      </c>
      <c r="L76" s="40">
        <f t="shared" si="4"/>
        <v>0</v>
      </c>
      <c r="M76" s="40">
        <f t="shared" si="5"/>
        <v>0</v>
      </c>
      <c r="N76" s="40">
        <f t="shared" si="6"/>
        <v>0</v>
      </c>
      <c r="O76" s="40">
        <f t="shared" si="0"/>
        <v>0</v>
      </c>
      <c r="P76" s="36"/>
      <c r="Q76" s="42"/>
    </row>
    <row r="77" spans="1:17">
      <c r="A77" s="153" t="s">
        <v>142</v>
      </c>
      <c r="B77" s="243">
        <v>0</v>
      </c>
      <c r="C77" s="78">
        <v>180</v>
      </c>
      <c r="D77" s="43">
        <v>210</v>
      </c>
      <c r="E77" s="97">
        <v>230</v>
      </c>
      <c r="F77" s="43"/>
      <c r="G77" s="58">
        <v>30</v>
      </c>
      <c r="H77" s="58"/>
      <c r="I77" s="58" t="s">
        <v>384</v>
      </c>
      <c r="J77" s="43">
        <v>1</v>
      </c>
      <c r="K77" s="51">
        <v>270</v>
      </c>
      <c r="L77" s="19">
        <f t="shared" si="4"/>
        <v>0</v>
      </c>
      <c r="M77" s="19">
        <f t="shared" si="5"/>
        <v>0</v>
      </c>
      <c r="N77" s="19">
        <f t="shared" si="6"/>
        <v>0</v>
      </c>
      <c r="O77" s="19">
        <f t="shared" si="0"/>
        <v>0</v>
      </c>
      <c r="P77" s="46"/>
      <c r="Q77" s="26"/>
    </row>
    <row r="78" spans="1:17">
      <c r="A78" s="153" t="s">
        <v>143</v>
      </c>
      <c r="B78" s="243">
        <v>0</v>
      </c>
      <c r="C78" s="78">
        <v>250</v>
      </c>
      <c r="D78" s="43">
        <v>210</v>
      </c>
      <c r="E78" s="97">
        <v>150</v>
      </c>
      <c r="F78" s="43"/>
      <c r="G78" s="58">
        <v>30</v>
      </c>
      <c r="H78" s="58"/>
      <c r="I78" s="58" t="s">
        <v>384</v>
      </c>
      <c r="J78" s="43"/>
      <c r="K78" s="51">
        <v>270</v>
      </c>
      <c r="L78" s="19">
        <f t="shared" si="4"/>
        <v>0</v>
      </c>
      <c r="M78" s="19">
        <f t="shared" si="5"/>
        <v>0</v>
      </c>
      <c r="N78" s="19">
        <f t="shared" si="6"/>
        <v>0</v>
      </c>
      <c r="O78" s="19">
        <f t="shared" si="0"/>
        <v>0</v>
      </c>
      <c r="P78" s="46"/>
      <c r="Q78" s="26"/>
    </row>
    <row r="79" spans="1:17">
      <c r="A79" s="153" t="s">
        <v>144</v>
      </c>
      <c r="B79" s="243">
        <v>0</v>
      </c>
      <c r="C79" s="78">
        <v>100</v>
      </c>
      <c r="D79" s="43">
        <v>260</v>
      </c>
      <c r="E79" s="97">
        <v>255</v>
      </c>
      <c r="F79" s="43"/>
      <c r="G79" s="58">
        <v>30</v>
      </c>
      <c r="H79" s="58"/>
      <c r="I79" s="58" t="s">
        <v>384</v>
      </c>
      <c r="J79" s="43"/>
      <c r="K79" s="51">
        <v>270</v>
      </c>
      <c r="L79" s="19">
        <f t="shared" si="4"/>
        <v>0</v>
      </c>
      <c r="M79" s="19">
        <f t="shared" si="5"/>
        <v>0</v>
      </c>
      <c r="N79" s="19">
        <f t="shared" si="6"/>
        <v>0</v>
      </c>
      <c r="O79" s="19">
        <f t="shared" si="0"/>
        <v>0</v>
      </c>
      <c r="P79" s="46"/>
      <c r="Q79" s="26"/>
    </row>
    <row r="80" spans="1:17">
      <c r="A80" s="153" t="s">
        <v>145</v>
      </c>
      <c r="B80" s="243">
        <v>0</v>
      </c>
      <c r="C80" s="78">
        <v>156</v>
      </c>
      <c r="D80" s="43">
        <v>233</v>
      </c>
      <c r="E80" s="97">
        <v>208</v>
      </c>
      <c r="F80" s="43"/>
      <c r="G80" s="58">
        <v>30</v>
      </c>
      <c r="H80" s="58"/>
      <c r="I80" s="58" t="s">
        <v>384</v>
      </c>
      <c r="J80" s="43"/>
      <c r="K80" s="51">
        <v>270</v>
      </c>
      <c r="L80" s="19">
        <f t="shared" si="4"/>
        <v>0</v>
      </c>
      <c r="M80" s="19">
        <f t="shared" si="5"/>
        <v>0</v>
      </c>
      <c r="N80" s="19">
        <f t="shared" si="6"/>
        <v>0</v>
      </c>
      <c r="O80" s="19">
        <f t="shared" si="0"/>
        <v>0</v>
      </c>
      <c r="P80" s="46"/>
      <c r="Q80" s="26"/>
    </row>
    <row r="81" spans="1:17">
      <c r="A81" s="153" t="s">
        <v>146</v>
      </c>
      <c r="B81" s="243">
        <v>0</v>
      </c>
      <c r="C81" s="78">
        <v>156</v>
      </c>
      <c r="D81" s="43">
        <v>263</v>
      </c>
      <c r="E81" s="97">
        <v>188</v>
      </c>
      <c r="F81" s="43"/>
      <c r="G81" s="58">
        <v>30</v>
      </c>
      <c r="H81" s="58"/>
      <c r="I81" s="58" t="s">
        <v>384</v>
      </c>
      <c r="J81" s="43"/>
      <c r="K81" s="51">
        <v>270</v>
      </c>
      <c r="L81" s="19">
        <f t="shared" si="4"/>
        <v>0</v>
      </c>
      <c r="M81" s="19">
        <f t="shared" si="5"/>
        <v>0</v>
      </c>
      <c r="N81" s="19">
        <f t="shared" si="6"/>
        <v>0</v>
      </c>
      <c r="O81" s="19">
        <f t="shared" si="0"/>
        <v>0</v>
      </c>
      <c r="P81" s="46"/>
      <c r="Q81" s="26"/>
    </row>
    <row r="82" spans="1:17">
      <c r="A82" s="153" t="s">
        <v>147</v>
      </c>
      <c r="B82" s="243">
        <v>0</v>
      </c>
      <c r="C82" s="78">
        <v>163</v>
      </c>
      <c r="D82" s="43">
        <v>238</v>
      </c>
      <c r="E82" s="97">
        <v>195</v>
      </c>
      <c r="F82" s="43"/>
      <c r="G82" s="58">
        <v>30</v>
      </c>
      <c r="H82" s="58"/>
      <c r="I82" s="58" t="s">
        <v>384</v>
      </c>
      <c r="J82" s="43"/>
      <c r="K82" s="51">
        <v>270</v>
      </c>
      <c r="L82" s="19">
        <f t="shared" si="4"/>
        <v>0</v>
      </c>
      <c r="M82" s="19">
        <f t="shared" si="5"/>
        <v>0</v>
      </c>
      <c r="N82" s="19">
        <f t="shared" si="6"/>
        <v>0</v>
      </c>
      <c r="O82" s="19">
        <f t="shared" si="0"/>
        <v>0</v>
      </c>
      <c r="P82" s="46"/>
      <c r="Q82" s="26"/>
    </row>
    <row r="83" spans="1:17">
      <c r="A83" s="155" t="s">
        <v>148</v>
      </c>
      <c r="B83" s="243">
        <v>0</v>
      </c>
      <c r="C83" s="78">
        <v>100</v>
      </c>
      <c r="D83" s="43">
        <v>400</v>
      </c>
      <c r="E83" s="97">
        <v>400</v>
      </c>
      <c r="F83" s="43"/>
      <c r="G83" s="58">
        <v>30</v>
      </c>
      <c r="H83" s="58"/>
      <c r="I83" s="58" t="s">
        <v>384</v>
      </c>
      <c r="J83" s="43"/>
      <c r="K83" s="51">
        <v>270</v>
      </c>
      <c r="L83" s="19">
        <f t="shared" si="4"/>
        <v>0</v>
      </c>
      <c r="M83" s="19">
        <f t="shared" si="5"/>
        <v>0</v>
      </c>
      <c r="N83" s="19">
        <f t="shared" si="6"/>
        <v>0</v>
      </c>
      <c r="O83" s="19">
        <f t="shared" si="0"/>
        <v>0</v>
      </c>
      <c r="P83" s="46"/>
      <c r="Q83" s="26"/>
    </row>
    <row r="84" spans="1:17">
      <c r="A84" s="155" t="s">
        <v>149</v>
      </c>
      <c r="B84" s="243">
        <v>0</v>
      </c>
      <c r="C84" s="78">
        <v>340</v>
      </c>
      <c r="D84" s="43">
        <v>250</v>
      </c>
      <c r="E84" s="97">
        <v>160</v>
      </c>
      <c r="F84" s="43"/>
      <c r="G84" s="58">
        <v>30</v>
      </c>
      <c r="H84" s="58"/>
      <c r="I84" s="58" t="s">
        <v>384</v>
      </c>
      <c r="J84" s="43"/>
      <c r="K84" s="51">
        <v>270</v>
      </c>
      <c r="L84" s="19">
        <f t="shared" si="4"/>
        <v>0</v>
      </c>
      <c r="M84" s="19">
        <f t="shared" si="5"/>
        <v>0</v>
      </c>
      <c r="N84" s="19">
        <f t="shared" si="6"/>
        <v>0</v>
      </c>
      <c r="O84" s="19">
        <f t="shared" si="0"/>
        <v>0</v>
      </c>
      <c r="P84" s="46"/>
      <c r="Q84" s="26"/>
    </row>
    <row r="85" spans="1:17">
      <c r="A85" s="155" t="s">
        <v>150</v>
      </c>
      <c r="B85" s="243">
        <v>0</v>
      </c>
      <c r="C85" s="78">
        <v>375</v>
      </c>
      <c r="D85" s="43">
        <v>200</v>
      </c>
      <c r="E85" s="97">
        <v>200</v>
      </c>
      <c r="F85" s="43"/>
      <c r="G85" s="58">
        <v>30</v>
      </c>
      <c r="H85" s="58"/>
      <c r="I85" s="58" t="s">
        <v>386</v>
      </c>
      <c r="J85" s="43"/>
      <c r="K85" s="51">
        <v>270</v>
      </c>
      <c r="L85" s="19">
        <f t="shared" si="4"/>
        <v>0</v>
      </c>
      <c r="M85" s="19">
        <f t="shared" si="5"/>
        <v>0</v>
      </c>
      <c r="N85" s="19">
        <f t="shared" si="6"/>
        <v>0</v>
      </c>
      <c r="O85" s="19">
        <f t="shared" si="0"/>
        <v>0</v>
      </c>
      <c r="P85" s="46"/>
      <c r="Q85" s="26"/>
    </row>
    <row r="86" spans="1:17">
      <c r="A86" s="155" t="s">
        <v>151</v>
      </c>
      <c r="B86" s="243">
        <v>0</v>
      </c>
      <c r="C86" s="78">
        <v>350</v>
      </c>
      <c r="D86" s="43">
        <v>200</v>
      </c>
      <c r="E86" s="97">
        <v>225</v>
      </c>
      <c r="F86" s="43"/>
      <c r="G86" s="58">
        <v>30</v>
      </c>
      <c r="H86" s="58"/>
      <c r="I86" s="58" t="s">
        <v>384</v>
      </c>
      <c r="J86" s="43"/>
      <c r="K86" s="51">
        <v>270</v>
      </c>
      <c r="L86" s="19">
        <f t="shared" si="4"/>
        <v>0</v>
      </c>
      <c r="M86" s="19">
        <f t="shared" si="5"/>
        <v>0</v>
      </c>
      <c r="N86" s="19">
        <f t="shared" si="6"/>
        <v>0</v>
      </c>
      <c r="O86" s="19">
        <f t="shared" si="0"/>
        <v>0</v>
      </c>
      <c r="P86" s="46"/>
      <c r="Q86" s="26"/>
    </row>
    <row r="87" spans="1:17">
      <c r="A87" s="156" t="s">
        <v>152</v>
      </c>
      <c r="B87" s="243">
        <v>0</v>
      </c>
      <c r="C87" s="78">
        <v>413</v>
      </c>
      <c r="D87" s="43">
        <v>225</v>
      </c>
      <c r="E87" s="97">
        <v>475</v>
      </c>
      <c r="F87" s="43"/>
      <c r="G87" s="58">
        <v>30</v>
      </c>
      <c r="H87" s="58"/>
      <c r="I87" s="58" t="s">
        <v>389</v>
      </c>
      <c r="J87" s="43"/>
      <c r="K87" s="51">
        <v>270</v>
      </c>
      <c r="L87" s="19">
        <f t="shared" si="4"/>
        <v>0</v>
      </c>
      <c r="M87" s="19">
        <f t="shared" si="5"/>
        <v>0</v>
      </c>
      <c r="N87" s="19">
        <f t="shared" si="6"/>
        <v>0</v>
      </c>
      <c r="O87" s="19">
        <f t="shared" si="0"/>
        <v>0</v>
      </c>
      <c r="P87" s="46"/>
      <c r="Q87" s="26"/>
    </row>
    <row r="88" spans="1:17">
      <c r="A88" s="156" t="s">
        <v>153</v>
      </c>
      <c r="B88" s="243">
        <v>0</v>
      </c>
      <c r="C88" s="78">
        <v>225</v>
      </c>
      <c r="D88" s="43">
        <v>500</v>
      </c>
      <c r="E88" s="97">
        <v>500</v>
      </c>
      <c r="F88" s="43"/>
      <c r="G88" s="58">
        <v>30</v>
      </c>
      <c r="H88" s="58"/>
      <c r="I88" s="58" t="s">
        <v>384</v>
      </c>
      <c r="J88" s="43"/>
      <c r="K88" s="51">
        <v>270</v>
      </c>
      <c r="L88" s="19">
        <f t="shared" si="4"/>
        <v>0</v>
      </c>
      <c r="M88" s="19">
        <f t="shared" si="5"/>
        <v>0</v>
      </c>
      <c r="N88" s="19">
        <f t="shared" si="6"/>
        <v>0</v>
      </c>
      <c r="O88" s="19">
        <f t="shared" si="0"/>
        <v>0</v>
      </c>
      <c r="P88" s="46"/>
      <c r="Q88" s="26"/>
    </row>
    <row r="89" spans="1:17" ht="15.75" thickBot="1">
      <c r="A89" s="157" t="s">
        <v>154</v>
      </c>
      <c r="B89" s="244">
        <v>0</v>
      </c>
      <c r="C89" s="79">
        <v>625</v>
      </c>
      <c r="D89" s="57">
        <v>1050</v>
      </c>
      <c r="E89" s="98">
        <v>750</v>
      </c>
      <c r="F89" s="47"/>
      <c r="G89" s="57">
        <v>30</v>
      </c>
      <c r="H89" s="57"/>
      <c r="I89" s="57" t="s">
        <v>384</v>
      </c>
      <c r="J89" s="47"/>
      <c r="K89" s="51">
        <v>270</v>
      </c>
      <c r="L89" s="21">
        <f t="shared" si="4"/>
        <v>0</v>
      </c>
      <c r="M89" s="21">
        <f t="shared" si="5"/>
        <v>0</v>
      </c>
      <c r="N89" s="21">
        <f t="shared" si="6"/>
        <v>0</v>
      </c>
      <c r="O89" s="21">
        <f t="shared" si="0"/>
        <v>0</v>
      </c>
      <c r="P89" s="53" t="s">
        <v>79</v>
      </c>
      <c r="Q89" s="54"/>
    </row>
    <row r="90" spans="1:17">
      <c r="A90" s="152" t="s">
        <v>652</v>
      </c>
      <c r="B90" s="242">
        <v>0</v>
      </c>
      <c r="C90" s="166">
        <v>50</v>
      </c>
      <c r="D90" s="167">
        <v>70</v>
      </c>
      <c r="E90" s="168">
        <v>110</v>
      </c>
      <c r="F90" s="166">
        <v>50</v>
      </c>
      <c r="G90" s="68">
        <v>12</v>
      </c>
      <c r="H90" s="68"/>
      <c r="I90" s="68" t="s">
        <v>387</v>
      </c>
      <c r="J90" s="167">
        <v>1</v>
      </c>
      <c r="K90" s="50">
        <v>350</v>
      </c>
      <c r="L90" s="40">
        <f t="shared" ref="L90:N94" si="7">$B90*C90</f>
        <v>0</v>
      </c>
      <c r="M90" s="40">
        <f t="shared" si="7"/>
        <v>0</v>
      </c>
      <c r="N90" s="40">
        <f t="shared" si="7"/>
        <v>0</v>
      </c>
      <c r="O90" s="40">
        <f>$B90*K90</f>
        <v>0</v>
      </c>
      <c r="P90" s="55"/>
      <c r="Q90" s="42" t="s">
        <v>100</v>
      </c>
    </row>
    <row r="91" spans="1:17">
      <c r="A91" s="153" t="s">
        <v>566</v>
      </c>
      <c r="B91" s="243">
        <v>0</v>
      </c>
      <c r="C91" s="78">
        <v>75</v>
      </c>
      <c r="D91" s="43">
        <v>105</v>
      </c>
      <c r="E91" s="97">
        <v>165</v>
      </c>
      <c r="F91" s="78">
        <v>75</v>
      </c>
      <c r="G91" s="58">
        <v>10</v>
      </c>
      <c r="H91" s="58"/>
      <c r="I91" s="58" t="s">
        <v>387</v>
      </c>
      <c r="J91" s="43"/>
      <c r="K91" s="51">
        <v>350</v>
      </c>
      <c r="L91" s="19">
        <f t="shared" si="7"/>
        <v>0</v>
      </c>
      <c r="M91" s="19">
        <f t="shared" si="7"/>
        <v>0</v>
      </c>
      <c r="N91" s="19">
        <f t="shared" si="7"/>
        <v>0</v>
      </c>
      <c r="O91" s="19">
        <f>$B91*K91</f>
        <v>0</v>
      </c>
      <c r="P91" s="46"/>
      <c r="Q91" s="26" t="s">
        <v>100</v>
      </c>
    </row>
    <row r="92" spans="1:17">
      <c r="A92" s="155" t="s">
        <v>567</v>
      </c>
      <c r="B92" s="243">
        <v>0</v>
      </c>
      <c r="C92" s="78">
        <v>100</v>
      </c>
      <c r="D92" s="43">
        <v>140</v>
      </c>
      <c r="E92" s="97">
        <v>220</v>
      </c>
      <c r="F92" s="78">
        <v>100</v>
      </c>
      <c r="G92" s="58">
        <v>10</v>
      </c>
      <c r="H92" s="58"/>
      <c r="I92" s="58" t="s">
        <v>387</v>
      </c>
      <c r="J92" s="43"/>
      <c r="K92" s="51">
        <v>350</v>
      </c>
      <c r="L92" s="19">
        <f t="shared" si="7"/>
        <v>0</v>
      </c>
      <c r="M92" s="19">
        <f t="shared" si="7"/>
        <v>0</v>
      </c>
      <c r="N92" s="19">
        <f t="shared" si="7"/>
        <v>0</v>
      </c>
      <c r="O92" s="19">
        <f>$B92*K92</f>
        <v>0</v>
      </c>
      <c r="P92" s="46"/>
      <c r="Q92" s="26" t="s">
        <v>100</v>
      </c>
    </row>
    <row r="93" spans="1:17">
      <c r="A93" s="156" t="s">
        <v>568</v>
      </c>
      <c r="B93" s="243">
        <v>0</v>
      </c>
      <c r="C93" s="78">
        <v>150</v>
      </c>
      <c r="D93" s="43">
        <v>210</v>
      </c>
      <c r="E93" s="97">
        <v>330</v>
      </c>
      <c r="F93" s="78">
        <v>200</v>
      </c>
      <c r="G93" s="58">
        <v>10</v>
      </c>
      <c r="H93" s="58"/>
      <c r="I93" s="58" t="s">
        <v>387</v>
      </c>
      <c r="J93" s="43"/>
      <c r="K93" s="51">
        <v>350</v>
      </c>
      <c r="L93" s="19">
        <f t="shared" si="7"/>
        <v>0</v>
      </c>
      <c r="M93" s="19">
        <f t="shared" si="7"/>
        <v>0</v>
      </c>
      <c r="N93" s="19">
        <f t="shared" si="7"/>
        <v>0</v>
      </c>
      <c r="O93" s="19">
        <f>$B93*K93</f>
        <v>0</v>
      </c>
      <c r="P93" s="46"/>
      <c r="Q93" s="26" t="s">
        <v>303</v>
      </c>
    </row>
    <row r="94" spans="1:17" ht="15.75" thickBot="1">
      <c r="A94" s="157" t="s">
        <v>569</v>
      </c>
      <c r="B94" s="244">
        <v>0</v>
      </c>
      <c r="C94" s="79">
        <v>200</v>
      </c>
      <c r="D94" s="47">
        <v>280</v>
      </c>
      <c r="E94" s="98">
        <v>440</v>
      </c>
      <c r="F94" s="79">
        <v>600</v>
      </c>
      <c r="G94" s="57">
        <v>10</v>
      </c>
      <c r="H94" s="57"/>
      <c r="I94" s="57" t="s">
        <v>387</v>
      </c>
      <c r="J94" s="47"/>
      <c r="K94" s="52">
        <v>350</v>
      </c>
      <c r="L94" s="19">
        <f t="shared" si="7"/>
        <v>0</v>
      </c>
      <c r="M94" s="21">
        <f t="shared" si="7"/>
        <v>0</v>
      </c>
      <c r="N94" s="21">
        <f t="shared" si="7"/>
        <v>0</v>
      </c>
      <c r="O94" s="21">
        <f>$B94*K94</f>
        <v>0</v>
      </c>
      <c r="P94" s="53"/>
      <c r="Q94" s="54" t="s">
        <v>229</v>
      </c>
    </row>
    <row r="95" spans="1:17">
      <c r="A95" s="152" t="s">
        <v>653</v>
      </c>
      <c r="B95" s="242">
        <v>0</v>
      </c>
      <c r="C95" s="77">
        <v>330</v>
      </c>
      <c r="D95" s="13">
        <v>300</v>
      </c>
      <c r="E95" s="51">
        <v>450</v>
      </c>
      <c r="F95" s="13"/>
      <c r="G95" s="58">
        <v>20</v>
      </c>
      <c r="H95" s="58">
        <v>40</v>
      </c>
      <c r="I95" s="58" t="s">
        <v>387</v>
      </c>
      <c r="J95" s="13"/>
      <c r="K95" s="51">
        <v>650</v>
      </c>
      <c r="L95" s="40">
        <f t="shared" si="4"/>
        <v>0</v>
      </c>
      <c r="M95" s="40">
        <f t="shared" si="5"/>
        <v>0</v>
      </c>
      <c r="N95" s="40">
        <f t="shared" si="6"/>
        <v>0</v>
      </c>
      <c r="O95" s="40">
        <f t="shared" si="0"/>
        <v>0</v>
      </c>
      <c r="P95" s="36"/>
      <c r="Q95" s="42"/>
    </row>
    <row r="96" spans="1:17">
      <c r="A96" s="153" t="s">
        <v>155</v>
      </c>
      <c r="B96" s="243">
        <v>0</v>
      </c>
      <c r="C96" s="78">
        <v>415</v>
      </c>
      <c r="D96" s="43">
        <v>375</v>
      </c>
      <c r="E96" s="97">
        <v>563</v>
      </c>
      <c r="F96" s="43"/>
      <c r="G96" s="58">
        <v>40</v>
      </c>
      <c r="H96" s="58"/>
      <c r="I96" s="58" t="s">
        <v>387</v>
      </c>
      <c r="J96" s="43">
        <v>1</v>
      </c>
      <c r="K96" s="51">
        <v>650</v>
      </c>
      <c r="L96" s="19">
        <f t="shared" si="4"/>
        <v>0</v>
      </c>
      <c r="M96" s="19">
        <f t="shared" si="5"/>
        <v>0</v>
      </c>
      <c r="N96" s="19">
        <f t="shared" si="6"/>
        <v>0</v>
      </c>
      <c r="O96" s="19">
        <f t="shared" si="0"/>
        <v>0</v>
      </c>
      <c r="P96" s="46"/>
      <c r="Q96" s="26"/>
    </row>
    <row r="97" spans="1:17">
      <c r="A97" s="153" t="s">
        <v>156</v>
      </c>
      <c r="B97" s="243">
        <v>0</v>
      </c>
      <c r="C97" s="78">
        <v>400</v>
      </c>
      <c r="D97" s="43">
        <v>360</v>
      </c>
      <c r="E97" s="97">
        <v>540</v>
      </c>
      <c r="F97" s="43"/>
      <c r="G97" s="58">
        <v>40</v>
      </c>
      <c r="H97" s="58"/>
      <c r="I97" s="58" t="s">
        <v>385</v>
      </c>
      <c r="J97" s="43"/>
      <c r="K97" s="51">
        <v>650</v>
      </c>
      <c r="L97" s="19">
        <f t="shared" si="4"/>
        <v>0</v>
      </c>
      <c r="M97" s="19">
        <f t="shared" si="5"/>
        <v>0</v>
      </c>
      <c r="N97" s="19">
        <f t="shared" si="6"/>
        <v>0</v>
      </c>
      <c r="O97" s="19">
        <f t="shared" si="0"/>
        <v>0</v>
      </c>
      <c r="P97" s="46" t="s">
        <v>76</v>
      </c>
      <c r="Q97" s="26"/>
    </row>
    <row r="98" spans="1:17">
      <c r="A98" s="153" t="s">
        <v>157</v>
      </c>
      <c r="B98" s="243">
        <v>0</v>
      </c>
      <c r="C98" s="78">
        <v>620</v>
      </c>
      <c r="D98" s="43">
        <v>300</v>
      </c>
      <c r="E98" s="97">
        <v>450</v>
      </c>
      <c r="F98" s="43"/>
      <c r="G98" s="58">
        <v>40</v>
      </c>
      <c r="H98" s="58"/>
      <c r="I98" s="58" t="s">
        <v>387</v>
      </c>
      <c r="J98" s="43"/>
      <c r="K98" s="51">
        <v>650</v>
      </c>
      <c r="L98" s="19">
        <f t="shared" si="4"/>
        <v>0</v>
      </c>
      <c r="M98" s="19">
        <f t="shared" si="5"/>
        <v>0</v>
      </c>
      <c r="N98" s="19">
        <f t="shared" si="6"/>
        <v>0</v>
      </c>
      <c r="O98" s="19">
        <f>$B98*K98</f>
        <v>0</v>
      </c>
      <c r="P98" s="46"/>
      <c r="Q98" s="26"/>
    </row>
    <row r="99" spans="1:17">
      <c r="A99" s="153" t="s">
        <v>158</v>
      </c>
      <c r="B99" s="243">
        <v>0</v>
      </c>
      <c r="C99" s="78">
        <v>100</v>
      </c>
      <c r="D99" s="43">
        <v>400</v>
      </c>
      <c r="E99" s="97">
        <v>900</v>
      </c>
      <c r="F99" s="43"/>
      <c r="G99" s="58">
        <v>40</v>
      </c>
      <c r="H99" s="58"/>
      <c r="I99" s="58" t="s">
        <v>387</v>
      </c>
      <c r="J99" s="43"/>
      <c r="K99" s="51">
        <v>650</v>
      </c>
      <c r="L99" s="19">
        <f t="shared" si="4"/>
        <v>0</v>
      </c>
      <c r="M99" s="19">
        <f t="shared" si="5"/>
        <v>0</v>
      </c>
      <c r="N99" s="19">
        <f t="shared" si="6"/>
        <v>0</v>
      </c>
      <c r="O99" s="19">
        <f t="shared" ref="O99:O119" si="8">$B99*K99</f>
        <v>0</v>
      </c>
      <c r="P99" s="46"/>
      <c r="Q99" s="26"/>
    </row>
    <row r="100" spans="1:17">
      <c r="A100" s="153" t="s">
        <v>159</v>
      </c>
      <c r="B100" s="243">
        <v>0</v>
      </c>
      <c r="C100" s="78">
        <v>760</v>
      </c>
      <c r="D100" s="43">
        <v>100</v>
      </c>
      <c r="E100" s="97">
        <v>500</v>
      </c>
      <c r="F100" s="43"/>
      <c r="G100" s="58">
        <v>40</v>
      </c>
      <c r="H100" s="58"/>
      <c r="I100" s="58" t="s">
        <v>387</v>
      </c>
      <c r="J100" s="43"/>
      <c r="K100" s="51">
        <v>650</v>
      </c>
      <c r="L100" s="19">
        <f t="shared" si="4"/>
        <v>0</v>
      </c>
      <c r="M100" s="19">
        <f t="shared" si="5"/>
        <v>0</v>
      </c>
      <c r="N100" s="19">
        <f t="shared" si="6"/>
        <v>0</v>
      </c>
      <c r="O100" s="19">
        <f t="shared" si="8"/>
        <v>0</v>
      </c>
      <c r="P100" s="46"/>
      <c r="Q100" s="26"/>
    </row>
    <row r="101" spans="1:17">
      <c r="A101" s="153" t="s">
        <v>160</v>
      </c>
      <c r="B101" s="243">
        <v>0</v>
      </c>
      <c r="C101" s="78">
        <v>410</v>
      </c>
      <c r="D101" s="43">
        <v>375</v>
      </c>
      <c r="E101" s="97">
        <v>563</v>
      </c>
      <c r="F101" s="43"/>
      <c r="G101" s="58">
        <v>40</v>
      </c>
      <c r="H101" s="58"/>
      <c r="I101" s="58" t="s">
        <v>387</v>
      </c>
      <c r="J101" s="43"/>
      <c r="K101" s="51">
        <v>650</v>
      </c>
      <c r="L101" s="19">
        <f t="shared" si="4"/>
        <v>0</v>
      </c>
      <c r="M101" s="19">
        <f t="shared" si="5"/>
        <v>0</v>
      </c>
      <c r="N101" s="19">
        <f t="shared" si="6"/>
        <v>0</v>
      </c>
      <c r="O101" s="19">
        <f t="shared" si="8"/>
        <v>0</v>
      </c>
      <c r="P101" s="46"/>
      <c r="Q101" s="26"/>
    </row>
    <row r="102" spans="1:17">
      <c r="A102" s="155" t="s">
        <v>161</v>
      </c>
      <c r="B102" s="243">
        <v>0</v>
      </c>
      <c r="C102" s="78">
        <v>730</v>
      </c>
      <c r="D102" s="43">
        <v>410</v>
      </c>
      <c r="E102" s="97">
        <v>765</v>
      </c>
      <c r="F102" s="43"/>
      <c r="G102" s="58">
        <v>40</v>
      </c>
      <c r="H102" s="58"/>
      <c r="I102" s="58" t="s">
        <v>387</v>
      </c>
      <c r="J102" s="43"/>
      <c r="K102" s="51">
        <v>650</v>
      </c>
      <c r="L102" s="19">
        <f t="shared" si="4"/>
        <v>0</v>
      </c>
      <c r="M102" s="19">
        <f t="shared" si="5"/>
        <v>0</v>
      </c>
      <c r="N102" s="19">
        <f t="shared" si="6"/>
        <v>0</v>
      </c>
      <c r="O102" s="19">
        <f t="shared" si="8"/>
        <v>0</v>
      </c>
      <c r="P102" s="46"/>
      <c r="Q102" s="26"/>
    </row>
    <row r="103" spans="1:17">
      <c r="A103" s="155" t="s">
        <v>162</v>
      </c>
      <c r="B103" s="243">
        <v>0</v>
      </c>
      <c r="C103" s="78">
        <v>20</v>
      </c>
      <c r="D103" s="43">
        <v>750</v>
      </c>
      <c r="E103" s="97">
        <v>750</v>
      </c>
      <c r="F103" s="43"/>
      <c r="G103" s="58">
        <v>40</v>
      </c>
      <c r="H103" s="58"/>
      <c r="I103" s="58" t="s">
        <v>385</v>
      </c>
      <c r="J103" s="43"/>
      <c r="K103" s="51">
        <v>650</v>
      </c>
      <c r="L103" s="19">
        <f t="shared" si="4"/>
        <v>0</v>
      </c>
      <c r="M103" s="19">
        <f t="shared" si="5"/>
        <v>0</v>
      </c>
      <c r="N103" s="19">
        <f t="shared" si="6"/>
        <v>0</v>
      </c>
      <c r="O103" s="19">
        <f t="shared" si="8"/>
        <v>0</v>
      </c>
      <c r="P103" s="46" t="s">
        <v>596</v>
      </c>
      <c r="Q103" s="26"/>
    </row>
    <row r="104" spans="1:17">
      <c r="A104" s="155" t="s">
        <v>163</v>
      </c>
      <c r="B104" s="243">
        <v>0</v>
      </c>
      <c r="C104" s="78">
        <v>580</v>
      </c>
      <c r="D104" s="43">
        <v>525</v>
      </c>
      <c r="E104" s="97">
        <v>788</v>
      </c>
      <c r="F104" s="43"/>
      <c r="G104" s="58">
        <v>40</v>
      </c>
      <c r="H104" s="58"/>
      <c r="I104" s="58" t="s">
        <v>387</v>
      </c>
      <c r="J104" s="43"/>
      <c r="K104" s="51">
        <v>650</v>
      </c>
      <c r="L104" s="19">
        <f t="shared" si="4"/>
        <v>0</v>
      </c>
      <c r="M104" s="19">
        <f t="shared" si="5"/>
        <v>0</v>
      </c>
      <c r="N104" s="19">
        <f t="shared" si="6"/>
        <v>0</v>
      </c>
      <c r="O104" s="19">
        <f t="shared" si="8"/>
        <v>0</v>
      </c>
      <c r="P104" s="46" t="s">
        <v>76</v>
      </c>
      <c r="Q104" s="26"/>
    </row>
    <row r="105" spans="1:17">
      <c r="A105" s="155" t="s">
        <v>164</v>
      </c>
      <c r="B105" s="243">
        <v>0</v>
      </c>
      <c r="C105" s="78">
        <v>605</v>
      </c>
      <c r="D105" s="43">
        <v>480</v>
      </c>
      <c r="E105" s="97">
        <v>520</v>
      </c>
      <c r="F105" s="43"/>
      <c r="G105" s="58">
        <v>40</v>
      </c>
      <c r="H105" s="58"/>
      <c r="I105" s="58" t="s">
        <v>387</v>
      </c>
      <c r="J105" s="43"/>
      <c r="K105" s="51">
        <v>650</v>
      </c>
      <c r="L105" s="19">
        <f t="shared" si="4"/>
        <v>0</v>
      </c>
      <c r="M105" s="19">
        <f t="shared" si="5"/>
        <v>0</v>
      </c>
      <c r="N105" s="19">
        <f t="shared" si="6"/>
        <v>0</v>
      </c>
      <c r="O105" s="19">
        <f t="shared" si="8"/>
        <v>0</v>
      </c>
      <c r="P105" s="46"/>
      <c r="Q105" s="26"/>
    </row>
    <row r="106" spans="1:17">
      <c r="A106" s="156" t="s">
        <v>165</v>
      </c>
      <c r="B106" s="243">
        <v>0</v>
      </c>
      <c r="C106" s="60">
        <v>1100</v>
      </c>
      <c r="D106" s="43">
        <v>400</v>
      </c>
      <c r="E106" s="99">
        <v>1250</v>
      </c>
      <c r="F106" s="58"/>
      <c r="G106" s="58">
        <v>40</v>
      </c>
      <c r="H106" s="58"/>
      <c r="I106" s="58" t="s">
        <v>387</v>
      </c>
      <c r="J106" s="58"/>
      <c r="K106" s="51">
        <v>650</v>
      </c>
      <c r="L106" s="19">
        <f t="shared" si="4"/>
        <v>0</v>
      </c>
      <c r="M106" s="19">
        <f t="shared" si="5"/>
        <v>0</v>
      </c>
      <c r="N106" s="19">
        <f t="shared" si="6"/>
        <v>0</v>
      </c>
      <c r="O106" s="19">
        <f t="shared" si="8"/>
        <v>0</v>
      </c>
      <c r="P106" s="46" t="s">
        <v>76</v>
      </c>
      <c r="Q106" s="26"/>
    </row>
    <row r="107" spans="1:17">
      <c r="A107" s="156" t="s">
        <v>166</v>
      </c>
      <c r="B107" s="243">
        <v>0</v>
      </c>
      <c r="C107" s="60">
        <v>1530</v>
      </c>
      <c r="D107" s="43">
        <v>300</v>
      </c>
      <c r="E107" s="97">
        <v>800</v>
      </c>
      <c r="F107" s="43"/>
      <c r="G107" s="58">
        <v>40</v>
      </c>
      <c r="H107" s="58"/>
      <c r="I107" s="58" t="s">
        <v>385</v>
      </c>
      <c r="J107" s="43"/>
      <c r="K107" s="51">
        <v>650</v>
      </c>
      <c r="L107" s="19">
        <f t="shared" si="4"/>
        <v>0</v>
      </c>
      <c r="M107" s="19">
        <f t="shared" si="5"/>
        <v>0</v>
      </c>
      <c r="N107" s="19">
        <f t="shared" si="6"/>
        <v>0</v>
      </c>
      <c r="O107" s="19">
        <f t="shared" si="8"/>
        <v>0</v>
      </c>
      <c r="P107" s="46"/>
      <c r="Q107" s="26"/>
    </row>
    <row r="108" spans="1:17" ht="15.75" thickBot="1">
      <c r="A108" s="157" t="s">
        <v>167</v>
      </c>
      <c r="B108" s="244">
        <v>0</v>
      </c>
      <c r="C108" s="60">
        <v>1350</v>
      </c>
      <c r="D108" s="58">
        <v>1100</v>
      </c>
      <c r="E108" s="99">
        <v>3250</v>
      </c>
      <c r="F108" s="58"/>
      <c r="G108" s="58">
        <v>40</v>
      </c>
      <c r="H108" s="58"/>
      <c r="I108" s="58" t="s">
        <v>387</v>
      </c>
      <c r="J108" s="58"/>
      <c r="K108" s="51">
        <v>650</v>
      </c>
      <c r="L108" s="21">
        <f t="shared" si="4"/>
        <v>0</v>
      </c>
      <c r="M108" s="21">
        <f t="shared" si="5"/>
        <v>0</v>
      </c>
      <c r="N108" s="21">
        <f t="shared" si="6"/>
        <v>0</v>
      </c>
      <c r="O108" s="21">
        <f t="shared" si="8"/>
        <v>0</v>
      </c>
      <c r="P108" s="53" t="s">
        <v>79</v>
      </c>
      <c r="Q108" s="54"/>
    </row>
    <row r="109" spans="1:17">
      <c r="A109" s="152" t="s">
        <v>654</v>
      </c>
      <c r="B109" s="242">
        <v>0</v>
      </c>
      <c r="C109" s="166">
        <v>400</v>
      </c>
      <c r="D109" s="167">
        <v>2000</v>
      </c>
      <c r="E109" s="168">
        <v>5000</v>
      </c>
      <c r="F109" s="167"/>
      <c r="G109" s="68">
        <v>80</v>
      </c>
      <c r="H109" s="68"/>
      <c r="I109" s="68" t="s">
        <v>391</v>
      </c>
      <c r="J109" s="167">
        <v>50</v>
      </c>
      <c r="K109" s="50">
        <v>2500</v>
      </c>
      <c r="L109" s="40">
        <f t="shared" si="4"/>
        <v>0</v>
      </c>
      <c r="M109" s="40">
        <f t="shared" si="5"/>
        <v>0</v>
      </c>
      <c r="N109" s="40">
        <f t="shared" si="6"/>
        <v>0</v>
      </c>
      <c r="O109" s="40">
        <f t="shared" si="8"/>
        <v>0</v>
      </c>
      <c r="P109" s="55"/>
      <c r="Q109" s="42"/>
    </row>
    <row r="110" spans="1:17">
      <c r="A110" s="153" t="s">
        <v>570</v>
      </c>
      <c r="B110" s="243">
        <v>0</v>
      </c>
      <c r="C110" s="78">
        <v>600</v>
      </c>
      <c r="D110" s="43">
        <v>3000</v>
      </c>
      <c r="E110" s="97">
        <v>7500</v>
      </c>
      <c r="F110" s="43"/>
      <c r="G110" s="58">
        <v>100</v>
      </c>
      <c r="H110" s="58"/>
      <c r="I110" s="58" t="s">
        <v>391</v>
      </c>
      <c r="J110" s="43"/>
      <c r="K110" s="51">
        <v>2500</v>
      </c>
      <c r="L110" s="19">
        <f t="shared" si="4"/>
        <v>0</v>
      </c>
      <c r="M110" s="19">
        <f t="shared" si="5"/>
        <v>0</v>
      </c>
      <c r="N110" s="19">
        <f t="shared" si="6"/>
        <v>0</v>
      </c>
      <c r="O110" s="19">
        <f t="shared" si="8"/>
        <v>0</v>
      </c>
      <c r="P110" s="46"/>
      <c r="Q110" s="26"/>
    </row>
    <row r="111" spans="1:17">
      <c r="A111" s="155" t="s">
        <v>571</v>
      </c>
      <c r="B111" s="243">
        <v>0</v>
      </c>
      <c r="C111" s="78">
        <v>800</v>
      </c>
      <c r="D111" s="43">
        <v>4000</v>
      </c>
      <c r="E111" s="97">
        <v>10000</v>
      </c>
      <c r="F111" s="43"/>
      <c r="G111" s="58">
        <v>100</v>
      </c>
      <c r="H111" s="58"/>
      <c r="I111" s="58" t="s">
        <v>391</v>
      </c>
      <c r="J111" s="43"/>
      <c r="K111" s="51">
        <v>2500</v>
      </c>
      <c r="L111" s="19">
        <f t="shared" si="4"/>
        <v>0</v>
      </c>
      <c r="M111" s="19">
        <f t="shared" si="5"/>
        <v>0</v>
      </c>
      <c r="N111" s="19">
        <f t="shared" si="6"/>
        <v>0</v>
      </c>
      <c r="O111" s="19">
        <f t="shared" si="8"/>
        <v>0</v>
      </c>
      <c r="P111" s="46"/>
      <c r="Q111" s="26"/>
    </row>
    <row r="112" spans="1:17">
      <c r="A112" s="156" t="s">
        <v>572</v>
      </c>
      <c r="B112" s="243">
        <v>0</v>
      </c>
      <c r="C112" s="78">
        <v>1200</v>
      </c>
      <c r="D112" s="43">
        <v>6000</v>
      </c>
      <c r="E112" s="97">
        <v>15000</v>
      </c>
      <c r="F112" s="43"/>
      <c r="G112" s="58">
        <v>100</v>
      </c>
      <c r="H112" s="58"/>
      <c r="I112" s="58" t="s">
        <v>391</v>
      </c>
      <c r="J112" s="43"/>
      <c r="K112" s="51">
        <v>2500</v>
      </c>
      <c r="L112" s="19">
        <f t="shared" si="4"/>
        <v>0</v>
      </c>
      <c r="M112" s="19">
        <f t="shared" si="5"/>
        <v>0</v>
      </c>
      <c r="N112" s="19">
        <f t="shared" si="6"/>
        <v>0</v>
      </c>
      <c r="O112" s="19">
        <f t="shared" si="8"/>
        <v>0</v>
      </c>
      <c r="P112" s="46"/>
      <c r="Q112" s="26"/>
    </row>
    <row r="113" spans="1:17" ht="15.75" thickBot="1">
      <c r="A113" s="157" t="s">
        <v>573</v>
      </c>
      <c r="B113" s="244">
        <v>0</v>
      </c>
      <c r="C113" s="79">
        <v>1600</v>
      </c>
      <c r="D113" s="47">
        <v>8000</v>
      </c>
      <c r="E113" s="98">
        <v>20000</v>
      </c>
      <c r="F113" s="47"/>
      <c r="G113" s="57">
        <v>100</v>
      </c>
      <c r="H113" s="57"/>
      <c r="I113" s="57" t="s">
        <v>391</v>
      </c>
      <c r="J113" s="47"/>
      <c r="K113" s="51">
        <v>2500</v>
      </c>
      <c r="L113" s="19">
        <f t="shared" si="4"/>
        <v>0</v>
      </c>
      <c r="M113" s="21">
        <f t="shared" si="5"/>
        <v>0</v>
      </c>
      <c r="N113" s="21">
        <f t="shared" si="6"/>
        <v>0</v>
      </c>
      <c r="O113" s="21">
        <f t="shared" si="8"/>
        <v>0</v>
      </c>
      <c r="P113" s="53"/>
      <c r="Q113" s="54"/>
    </row>
    <row r="114" spans="1:17">
      <c r="A114" s="152" t="s">
        <v>655</v>
      </c>
      <c r="B114" s="242">
        <v>0</v>
      </c>
      <c r="C114" s="37">
        <v>100</v>
      </c>
      <c r="D114" s="38">
        <v>325</v>
      </c>
      <c r="E114" s="50">
        <v>685</v>
      </c>
      <c r="F114" s="37">
        <v>30</v>
      </c>
      <c r="G114" s="68">
        <v>20</v>
      </c>
      <c r="H114" s="68">
        <v>40</v>
      </c>
      <c r="I114" s="68" t="s">
        <v>386</v>
      </c>
      <c r="J114" s="38">
        <v>40</v>
      </c>
      <c r="K114" s="50">
        <v>550</v>
      </c>
      <c r="L114" s="40">
        <f t="shared" si="4"/>
        <v>0</v>
      </c>
      <c r="M114" s="40">
        <f t="shared" si="5"/>
        <v>0</v>
      </c>
      <c r="N114" s="40">
        <f t="shared" si="6"/>
        <v>0</v>
      </c>
      <c r="O114" s="40">
        <f t="shared" si="8"/>
        <v>0</v>
      </c>
      <c r="P114" s="36"/>
      <c r="Q114" s="42" t="s">
        <v>512</v>
      </c>
    </row>
    <row r="115" spans="1:17">
      <c r="A115" s="153" t="s">
        <v>168</v>
      </c>
      <c r="B115" s="243">
        <v>0</v>
      </c>
      <c r="C115" s="78">
        <v>275</v>
      </c>
      <c r="D115" s="43">
        <v>358</v>
      </c>
      <c r="E115" s="97">
        <v>754</v>
      </c>
      <c r="F115" s="78">
        <v>20</v>
      </c>
      <c r="G115" s="58">
        <v>50</v>
      </c>
      <c r="H115" s="58"/>
      <c r="I115" s="58" t="s">
        <v>388</v>
      </c>
      <c r="J115" s="43">
        <v>40</v>
      </c>
      <c r="K115" s="51">
        <v>550</v>
      </c>
      <c r="L115" s="19">
        <f t="shared" si="4"/>
        <v>0</v>
      </c>
      <c r="M115" s="19">
        <f t="shared" si="5"/>
        <v>0</v>
      </c>
      <c r="N115" s="19">
        <f t="shared" si="6"/>
        <v>0</v>
      </c>
      <c r="O115" s="19">
        <f t="shared" si="8"/>
        <v>0</v>
      </c>
      <c r="P115" s="46" t="s">
        <v>76</v>
      </c>
      <c r="Q115" s="45" t="s">
        <v>169</v>
      </c>
    </row>
    <row r="116" spans="1:17">
      <c r="A116" s="153" t="s">
        <v>170</v>
      </c>
      <c r="B116" s="243">
        <v>0</v>
      </c>
      <c r="C116" s="78">
        <v>338</v>
      </c>
      <c r="D116" s="43">
        <v>439</v>
      </c>
      <c r="E116" s="97">
        <v>725</v>
      </c>
      <c r="F116" s="78"/>
      <c r="G116" s="58">
        <v>50</v>
      </c>
      <c r="H116" s="58"/>
      <c r="I116" s="58" t="s">
        <v>388</v>
      </c>
      <c r="J116" s="43"/>
      <c r="K116" s="51">
        <v>550</v>
      </c>
      <c r="L116" s="19">
        <f t="shared" si="4"/>
        <v>0</v>
      </c>
      <c r="M116" s="19">
        <f t="shared" si="5"/>
        <v>0</v>
      </c>
      <c r="N116" s="19">
        <f t="shared" si="6"/>
        <v>0</v>
      </c>
      <c r="O116" s="19">
        <f t="shared" si="8"/>
        <v>0</v>
      </c>
      <c r="P116" s="46"/>
      <c r="Q116" s="26"/>
    </row>
    <row r="117" spans="1:17">
      <c r="A117" s="153" t="s">
        <v>171</v>
      </c>
      <c r="B117" s="243">
        <v>0</v>
      </c>
      <c r="C117" s="78">
        <v>150</v>
      </c>
      <c r="D117" s="43">
        <v>500</v>
      </c>
      <c r="E117" s="97">
        <v>800</v>
      </c>
      <c r="F117" s="78"/>
      <c r="G117" s="58">
        <v>50</v>
      </c>
      <c r="H117" s="58"/>
      <c r="I117" s="58" t="s">
        <v>388</v>
      </c>
      <c r="J117" s="43"/>
      <c r="K117" s="51">
        <v>550</v>
      </c>
      <c r="L117" s="19">
        <f t="shared" si="4"/>
        <v>0</v>
      </c>
      <c r="M117" s="19">
        <f t="shared" si="5"/>
        <v>0</v>
      </c>
      <c r="N117" s="19">
        <f t="shared" si="6"/>
        <v>0</v>
      </c>
      <c r="O117" s="19">
        <f t="shared" si="8"/>
        <v>0</v>
      </c>
      <c r="P117" s="46"/>
      <c r="Q117" s="26"/>
    </row>
    <row r="118" spans="1:17">
      <c r="A118" s="153" t="s">
        <v>172</v>
      </c>
      <c r="B118" s="243">
        <v>0</v>
      </c>
      <c r="C118" s="78">
        <v>250</v>
      </c>
      <c r="D118" s="43">
        <v>600</v>
      </c>
      <c r="E118" s="97">
        <v>685</v>
      </c>
      <c r="F118" s="78"/>
      <c r="G118" s="58">
        <v>50</v>
      </c>
      <c r="H118" s="58"/>
      <c r="I118" s="58" t="s">
        <v>386</v>
      </c>
      <c r="J118" s="43"/>
      <c r="K118" s="51">
        <v>550</v>
      </c>
      <c r="L118" s="19">
        <f t="shared" si="4"/>
        <v>0</v>
      </c>
      <c r="M118" s="19">
        <f t="shared" si="5"/>
        <v>0</v>
      </c>
      <c r="N118" s="19">
        <f t="shared" si="6"/>
        <v>0</v>
      </c>
      <c r="O118" s="19">
        <f t="shared" si="8"/>
        <v>0</v>
      </c>
      <c r="P118" s="46"/>
      <c r="Q118" s="26"/>
    </row>
    <row r="119" spans="1:17">
      <c r="A119" s="153" t="s">
        <v>173</v>
      </c>
      <c r="B119" s="243">
        <v>0</v>
      </c>
      <c r="C119" s="78">
        <v>313</v>
      </c>
      <c r="D119" s="43">
        <v>406</v>
      </c>
      <c r="E119" s="97">
        <v>856</v>
      </c>
      <c r="F119" s="78"/>
      <c r="G119" s="58">
        <v>50</v>
      </c>
      <c r="H119" s="58"/>
      <c r="I119" s="58" t="s">
        <v>386</v>
      </c>
      <c r="J119" s="43"/>
      <c r="K119" s="51">
        <v>550</v>
      </c>
      <c r="L119" s="19">
        <f t="shared" si="4"/>
        <v>0</v>
      </c>
      <c r="M119" s="19">
        <f t="shared" si="5"/>
        <v>0</v>
      </c>
      <c r="N119" s="19">
        <f t="shared" si="6"/>
        <v>0</v>
      </c>
      <c r="O119" s="19">
        <f t="shared" si="8"/>
        <v>0</v>
      </c>
      <c r="P119" s="46"/>
      <c r="Q119" s="26"/>
    </row>
    <row r="120" spans="1:17">
      <c r="A120" s="153" t="s">
        <v>174</v>
      </c>
      <c r="B120" s="243">
        <v>0</v>
      </c>
      <c r="C120" s="78">
        <v>250</v>
      </c>
      <c r="D120" s="43">
        <v>325</v>
      </c>
      <c r="E120" s="97">
        <v>685</v>
      </c>
      <c r="F120" s="78"/>
      <c r="G120" s="58">
        <v>50</v>
      </c>
      <c r="H120" s="58"/>
      <c r="I120" s="58" t="s">
        <v>386</v>
      </c>
      <c r="J120" s="43"/>
      <c r="K120" s="51">
        <v>550</v>
      </c>
      <c r="L120" s="19">
        <f t="shared" si="4"/>
        <v>0</v>
      </c>
      <c r="M120" s="19">
        <f t="shared" si="5"/>
        <v>0</v>
      </c>
      <c r="N120" s="19">
        <f t="shared" si="6"/>
        <v>0</v>
      </c>
      <c r="O120" s="19">
        <f t="shared" ref="O120:O135" si="9">$B120*K120</f>
        <v>0</v>
      </c>
      <c r="P120" s="46"/>
      <c r="Q120" s="26"/>
    </row>
    <row r="121" spans="1:17">
      <c r="A121" s="155" t="s">
        <v>175</v>
      </c>
      <c r="B121" s="243">
        <v>0</v>
      </c>
      <c r="C121" s="78">
        <v>620</v>
      </c>
      <c r="D121" s="43">
        <v>400</v>
      </c>
      <c r="E121" s="99">
        <v>1100</v>
      </c>
      <c r="F121" s="60"/>
      <c r="G121" s="58">
        <v>50</v>
      </c>
      <c r="H121" s="58"/>
      <c r="I121" s="58" t="s">
        <v>388</v>
      </c>
      <c r="J121" s="58"/>
      <c r="K121" s="51">
        <v>550</v>
      </c>
      <c r="L121" s="19">
        <f t="shared" si="4"/>
        <v>0</v>
      </c>
      <c r="M121" s="19">
        <f t="shared" si="5"/>
        <v>0</v>
      </c>
      <c r="N121" s="19">
        <f t="shared" si="6"/>
        <v>0</v>
      </c>
      <c r="O121" s="19">
        <f t="shared" si="9"/>
        <v>0</v>
      </c>
      <c r="P121" s="46"/>
      <c r="Q121" s="26"/>
    </row>
    <row r="122" spans="1:17">
      <c r="A122" s="155" t="s">
        <v>176</v>
      </c>
      <c r="B122" s="243">
        <v>0</v>
      </c>
      <c r="C122" s="78">
        <v>438</v>
      </c>
      <c r="D122" s="43">
        <v>569</v>
      </c>
      <c r="E122" s="99">
        <v>1199</v>
      </c>
      <c r="F122" s="60"/>
      <c r="G122" s="58">
        <v>50</v>
      </c>
      <c r="H122" s="58"/>
      <c r="I122" s="58" t="s">
        <v>390</v>
      </c>
      <c r="J122" s="58"/>
      <c r="K122" s="51">
        <v>550</v>
      </c>
      <c r="L122" s="19">
        <f t="shared" si="4"/>
        <v>0</v>
      </c>
      <c r="M122" s="19">
        <f t="shared" si="5"/>
        <v>0</v>
      </c>
      <c r="N122" s="19">
        <f t="shared" si="6"/>
        <v>0</v>
      </c>
      <c r="O122" s="19">
        <f t="shared" si="9"/>
        <v>0</v>
      </c>
      <c r="P122" s="46"/>
      <c r="Q122" s="26"/>
    </row>
    <row r="123" spans="1:17">
      <c r="A123" s="155" t="s">
        <v>177</v>
      </c>
      <c r="B123" s="243">
        <v>0</v>
      </c>
      <c r="C123" s="78">
        <v>800</v>
      </c>
      <c r="D123" s="43">
        <v>325</v>
      </c>
      <c r="E123" s="97">
        <v>685</v>
      </c>
      <c r="F123" s="78"/>
      <c r="G123" s="58">
        <v>50</v>
      </c>
      <c r="H123" s="58"/>
      <c r="I123" s="58" t="s">
        <v>388</v>
      </c>
      <c r="J123" s="43"/>
      <c r="K123" s="51">
        <v>550</v>
      </c>
      <c r="L123" s="19">
        <f t="shared" si="4"/>
        <v>0</v>
      </c>
      <c r="M123" s="19">
        <f t="shared" si="5"/>
        <v>0</v>
      </c>
      <c r="N123" s="19">
        <f t="shared" si="6"/>
        <v>0</v>
      </c>
      <c r="O123" s="19">
        <f t="shared" si="9"/>
        <v>0</v>
      </c>
      <c r="P123" s="46"/>
      <c r="Q123" s="26"/>
    </row>
    <row r="124" spans="1:17">
      <c r="A124" s="155" t="s">
        <v>178</v>
      </c>
      <c r="B124" s="243">
        <v>0</v>
      </c>
      <c r="C124" s="78">
        <v>750</v>
      </c>
      <c r="D124" s="43">
        <v>275</v>
      </c>
      <c r="E124" s="97">
        <v>950</v>
      </c>
      <c r="F124" s="78"/>
      <c r="G124" s="58">
        <v>50</v>
      </c>
      <c r="H124" s="58"/>
      <c r="I124" s="58" t="s">
        <v>388</v>
      </c>
      <c r="J124" s="43"/>
      <c r="K124" s="51">
        <v>550</v>
      </c>
      <c r="L124" s="19">
        <f t="shared" si="4"/>
        <v>0</v>
      </c>
      <c r="M124" s="19">
        <f t="shared" si="5"/>
        <v>0</v>
      </c>
      <c r="N124" s="19">
        <f t="shared" si="6"/>
        <v>0</v>
      </c>
      <c r="O124" s="19">
        <f t="shared" si="9"/>
        <v>0</v>
      </c>
      <c r="P124" s="46"/>
      <c r="Q124" s="26"/>
    </row>
    <row r="125" spans="1:17">
      <c r="A125" s="156" t="s">
        <v>179</v>
      </c>
      <c r="B125" s="243">
        <v>0</v>
      </c>
      <c r="C125" s="78">
        <v>625</v>
      </c>
      <c r="D125" s="43">
        <v>813</v>
      </c>
      <c r="E125" s="99">
        <v>1713</v>
      </c>
      <c r="F125" s="60"/>
      <c r="G125" s="58">
        <v>50</v>
      </c>
      <c r="H125" s="58"/>
      <c r="I125" s="58" t="s">
        <v>388</v>
      </c>
      <c r="J125" s="58"/>
      <c r="K125" s="51">
        <v>550</v>
      </c>
      <c r="L125" s="19">
        <f t="shared" si="4"/>
        <v>0</v>
      </c>
      <c r="M125" s="19">
        <f t="shared" si="5"/>
        <v>0</v>
      </c>
      <c r="N125" s="19">
        <f t="shared" si="6"/>
        <v>0</v>
      </c>
      <c r="O125" s="19">
        <f t="shared" si="9"/>
        <v>0</v>
      </c>
      <c r="P125" s="46"/>
      <c r="Q125" s="26"/>
    </row>
    <row r="126" spans="1:17">
      <c r="A126" s="156" t="s">
        <v>180</v>
      </c>
      <c r="B126" s="243">
        <v>0</v>
      </c>
      <c r="C126" s="78">
        <v>700</v>
      </c>
      <c r="D126" s="43">
        <v>650</v>
      </c>
      <c r="E126" s="99">
        <v>2070</v>
      </c>
      <c r="F126" s="60"/>
      <c r="G126" s="58">
        <v>50</v>
      </c>
      <c r="H126" s="58"/>
      <c r="I126" s="58" t="s">
        <v>386</v>
      </c>
      <c r="J126" s="58"/>
      <c r="K126" s="51">
        <v>550</v>
      </c>
      <c r="L126" s="19">
        <f t="shared" si="4"/>
        <v>0</v>
      </c>
      <c r="M126" s="19">
        <f t="shared" si="5"/>
        <v>0</v>
      </c>
      <c r="N126" s="19">
        <f t="shared" si="6"/>
        <v>0</v>
      </c>
      <c r="O126" s="19">
        <f t="shared" si="9"/>
        <v>0</v>
      </c>
      <c r="P126" s="46"/>
      <c r="Q126" s="26"/>
    </row>
    <row r="127" spans="1:17" ht="15.75" thickBot="1">
      <c r="A127" s="157" t="s">
        <v>181</v>
      </c>
      <c r="B127" s="244">
        <v>0</v>
      </c>
      <c r="C127" s="61">
        <v>1250</v>
      </c>
      <c r="D127" s="57">
        <v>1625</v>
      </c>
      <c r="E127" s="100">
        <v>3425</v>
      </c>
      <c r="F127" s="61"/>
      <c r="G127" s="57">
        <v>50</v>
      </c>
      <c r="H127" s="57"/>
      <c r="I127" s="57" t="s">
        <v>391</v>
      </c>
      <c r="J127" s="57"/>
      <c r="K127" s="52">
        <v>550</v>
      </c>
      <c r="L127" s="21">
        <f t="shared" si="4"/>
        <v>0</v>
      </c>
      <c r="M127" s="21">
        <f t="shared" si="5"/>
        <v>0</v>
      </c>
      <c r="N127" s="21">
        <f t="shared" si="6"/>
        <v>0</v>
      </c>
      <c r="O127" s="21">
        <f t="shared" si="9"/>
        <v>0</v>
      </c>
      <c r="P127" s="53" t="s">
        <v>79</v>
      </c>
      <c r="Q127" s="54"/>
    </row>
    <row r="128" spans="1:17">
      <c r="A128" s="152" t="s">
        <v>656</v>
      </c>
      <c r="B128" s="242">
        <v>0</v>
      </c>
      <c r="C128" s="77">
        <v>750</v>
      </c>
      <c r="D128" s="13">
        <v>900</v>
      </c>
      <c r="E128" s="51">
        <v>1400</v>
      </c>
      <c r="F128" s="13"/>
      <c r="G128" s="58">
        <v>60</v>
      </c>
      <c r="H128" s="58">
        <v>80</v>
      </c>
      <c r="I128" s="58" t="s">
        <v>387</v>
      </c>
      <c r="J128" s="13">
        <v>60</v>
      </c>
      <c r="K128" s="51">
        <v>1600</v>
      </c>
      <c r="L128" s="40">
        <f t="shared" si="4"/>
        <v>0</v>
      </c>
      <c r="M128" s="40">
        <f t="shared" si="5"/>
        <v>0</v>
      </c>
      <c r="N128" s="40">
        <f t="shared" si="6"/>
        <v>0</v>
      </c>
      <c r="O128" s="40">
        <f t="shared" si="9"/>
        <v>0</v>
      </c>
      <c r="P128" s="36"/>
      <c r="Q128" s="42"/>
    </row>
    <row r="129" spans="1:17">
      <c r="A129" s="153" t="s">
        <v>182</v>
      </c>
      <c r="B129" s="243">
        <v>0</v>
      </c>
      <c r="C129" s="60">
        <v>1138</v>
      </c>
      <c r="D129" s="58">
        <v>1125</v>
      </c>
      <c r="E129" s="99">
        <v>1550</v>
      </c>
      <c r="F129" s="58"/>
      <c r="G129" s="58">
        <v>80</v>
      </c>
      <c r="H129" s="58"/>
      <c r="I129" s="58" t="s">
        <v>387</v>
      </c>
      <c r="J129" s="58">
        <v>60</v>
      </c>
      <c r="K129" s="51">
        <v>1600</v>
      </c>
      <c r="L129" s="19">
        <f t="shared" si="4"/>
        <v>0</v>
      </c>
      <c r="M129" s="19">
        <f t="shared" si="5"/>
        <v>0</v>
      </c>
      <c r="N129" s="19">
        <f t="shared" si="6"/>
        <v>0</v>
      </c>
      <c r="O129" s="19">
        <f t="shared" si="9"/>
        <v>0</v>
      </c>
      <c r="P129" s="46"/>
      <c r="Q129" s="45"/>
    </row>
    <row r="130" spans="1:17">
      <c r="A130" s="153" t="s">
        <v>183</v>
      </c>
      <c r="B130" s="243">
        <v>0</v>
      </c>
      <c r="C130" s="60">
        <v>1550</v>
      </c>
      <c r="D130" s="43">
        <v>850</v>
      </c>
      <c r="E130" s="99">
        <v>1050</v>
      </c>
      <c r="F130" s="58"/>
      <c r="G130" s="58">
        <v>80</v>
      </c>
      <c r="H130" s="58"/>
      <c r="I130" s="58" t="s">
        <v>387</v>
      </c>
      <c r="J130" s="58"/>
      <c r="K130" s="51">
        <v>1600</v>
      </c>
      <c r="L130" s="19">
        <f t="shared" si="4"/>
        <v>0</v>
      </c>
      <c r="M130" s="19">
        <f t="shared" si="5"/>
        <v>0</v>
      </c>
      <c r="N130" s="19">
        <f t="shared" si="6"/>
        <v>0</v>
      </c>
      <c r="O130" s="19">
        <f t="shared" si="9"/>
        <v>0</v>
      </c>
      <c r="P130" s="46"/>
      <c r="Q130" s="45"/>
    </row>
    <row r="131" spans="1:17">
      <c r="A131" s="153" t="s">
        <v>184</v>
      </c>
      <c r="B131" s="243">
        <v>0</v>
      </c>
      <c r="C131" s="78">
        <v>838</v>
      </c>
      <c r="D131" s="58">
        <v>1225</v>
      </c>
      <c r="E131" s="99">
        <v>1750</v>
      </c>
      <c r="F131" s="58"/>
      <c r="G131" s="58">
        <v>80</v>
      </c>
      <c r="H131" s="58"/>
      <c r="I131" s="58" t="s">
        <v>387</v>
      </c>
      <c r="J131" s="58"/>
      <c r="K131" s="51">
        <v>1600</v>
      </c>
      <c r="L131" s="19">
        <f t="shared" si="4"/>
        <v>0</v>
      </c>
      <c r="M131" s="19">
        <f t="shared" si="5"/>
        <v>0</v>
      </c>
      <c r="N131" s="19">
        <f t="shared" si="6"/>
        <v>0</v>
      </c>
      <c r="O131" s="19">
        <f t="shared" si="9"/>
        <v>0</v>
      </c>
      <c r="P131" s="46"/>
      <c r="Q131" s="45"/>
    </row>
    <row r="132" spans="1:17">
      <c r="A132" s="153" t="s">
        <v>185</v>
      </c>
      <c r="B132" s="243">
        <v>0</v>
      </c>
      <c r="C132" s="78">
        <v>938</v>
      </c>
      <c r="D132" s="58">
        <v>1125</v>
      </c>
      <c r="E132" s="99">
        <v>1750</v>
      </c>
      <c r="F132" s="58"/>
      <c r="G132" s="58">
        <v>80</v>
      </c>
      <c r="H132" s="58"/>
      <c r="I132" s="58" t="s">
        <v>387</v>
      </c>
      <c r="J132" s="58"/>
      <c r="K132" s="51">
        <v>1600</v>
      </c>
      <c r="L132" s="19">
        <f t="shared" si="4"/>
        <v>0</v>
      </c>
      <c r="M132" s="19">
        <f t="shared" si="5"/>
        <v>0</v>
      </c>
      <c r="N132" s="19">
        <f t="shared" si="6"/>
        <v>0</v>
      </c>
      <c r="O132" s="19">
        <f t="shared" si="9"/>
        <v>0</v>
      </c>
      <c r="P132" s="46"/>
      <c r="Q132" s="45"/>
    </row>
    <row r="133" spans="1:17">
      <c r="A133" s="153" t="s">
        <v>186</v>
      </c>
      <c r="B133" s="243">
        <v>0</v>
      </c>
      <c r="C133" s="60">
        <v>1150</v>
      </c>
      <c r="D133" s="43">
        <v>900</v>
      </c>
      <c r="E133" s="99">
        <v>1700</v>
      </c>
      <c r="F133" s="58"/>
      <c r="G133" s="58">
        <v>80</v>
      </c>
      <c r="H133" s="58"/>
      <c r="I133" s="58" t="s">
        <v>387</v>
      </c>
      <c r="J133" s="58"/>
      <c r="K133" s="51">
        <v>1600</v>
      </c>
      <c r="L133" s="19">
        <f t="shared" si="4"/>
        <v>0</v>
      </c>
      <c r="M133" s="19">
        <f t="shared" si="5"/>
        <v>0</v>
      </c>
      <c r="N133" s="19">
        <f t="shared" si="6"/>
        <v>0</v>
      </c>
      <c r="O133" s="19">
        <f t="shared" si="9"/>
        <v>0</v>
      </c>
      <c r="P133" s="46"/>
      <c r="Q133" s="45"/>
    </row>
    <row r="134" spans="1:17">
      <c r="A134" s="153" t="s">
        <v>187</v>
      </c>
      <c r="B134" s="243">
        <v>0</v>
      </c>
      <c r="C134" s="78">
        <v>900</v>
      </c>
      <c r="D134" s="58">
        <v>1080</v>
      </c>
      <c r="E134" s="99">
        <v>1680</v>
      </c>
      <c r="F134" s="58"/>
      <c r="G134" s="58">
        <v>80</v>
      </c>
      <c r="H134" s="58"/>
      <c r="I134" s="58" t="s">
        <v>387</v>
      </c>
      <c r="J134" s="58"/>
      <c r="K134" s="51">
        <v>1600</v>
      </c>
      <c r="L134" s="19">
        <f t="shared" si="4"/>
        <v>0</v>
      </c>
      <c r="M134" s="19">
        <f t="shared" si="5"/>
        <v>0</v>
      </c>
      <c r="N134" s="19">
        <f t="shared" si="6"/>
        <v>0</v>
      </c>
      <c r="O134" s="19">
        <f t="shared" si="9"/>
        <v>0</v>
      </c>
      <c r="P134" s="46"/>
      <c r="Q134" s="45"/>
    </row>
    <row r="135" spans="1:17">
      <c r="A135" s="155" t="s">
        <v>188</v>
      </c>
      <c r="B135" s="243">
        <v>0</v>
      </c>
      <c r="C135" s="78">
        <v>938</v>
      </c>
      <c r="D135" s="58">
        <v>1125</v>
      </c>
      <c r="E135" s="99">
        <v>1750</v>
      </c>
      <c r="F135" s="58"/>
      <c r="G135" s="58">
        <v>80</v>
      </c>
      <c r="H135" s="58"/>
      <c r="I135" s="58" t="s">
        <v>387</v>
      </c>
      <c r="J135" s="58"/>
      <c r="K135" s="51">
        <v>1600</v>
      </c>
      <c r="L135" s="19">
        <f t="shared" si="4"/>
        <v>0</v>
      </c>
      <c r="M135" s="19">
        <f t="shared" si="5"/>
        <v>0</v>
      </c>
      <c r="N135" s="19">
        <f t="shared" si="6"/>
        <v>0</v>
      </c>
      <c r="O135" s="19">
        <f t="shared" si="9"/>
        <v>0</v>
      </c>
      <c r="P135" s="46"/>
      <c r="Q135" s="45"/>
    </row>
    <row r="136" spans="1:17">
      <c r="A136" s="155" t="s">
        <v>189</v>
      </c>
      <c r="B136" s="243">
        <v>0</v>
      </c>
      <c r="C136" s="78">
        <v>750</v>
      </c>
      <c r="D136" s="43">
        <v>900</v>
      </c>
      <c r="E136" s="99">
        <v>1400</v>
      </c>
      <c r="F136" s="58">
        <v>180</v>
      </c>
      <c r="G136" s="58">
        <v>80</v>
      </c>
      <c r="H136" s="58"/>
      <c r="I136" s="58" t="s">
        <v>387</v>
      </c>
      <c r="J136" s="58"/>
      <c r="K136" s="51">
        <v>1600</v>
      </c>
      <c r="L136" s="19">
        <f t="shared" si="4"/>
        <v>0</v>
      </c>
      <c r="M136" s="19">
        <f t="shared" si="5"/>
        <v>0</v>
      </c>
      <c r="N136" s="19">
        <f t="shared" si="6"/>
        <v>0</v>
      </c>
      <c r="O136" s="19">
        <f t="shared" ref="O136:O156" si="10">$B136*K136</f>
        <v>0</v>
      </c>
      <c r="P136" s="46" t="s">
        <v>76</v>
      </c>
      <c r="Q136" s="45" t="s">
        <v>263</v>
      </c>
    </row>
    <row r="137" spans="1:17">
      <c r="A137" s="155" t="s">
        <v>191</v>
      </c>
      <c r="B137" s="243">
        <v>0</v>
      </c>
      <c r="C137" s="60">
        <v>1950</v>
      </c>
      <c r="D137" s="58">
        <v>1100</v>
      </c>
      <c r="E137" s="99">
        <v>2000</v>
      </c>
      <c r="F137" s="58"/>
      <c r="G137" s="58">
        <v>80</v>
      </c>
      <c r="H137" s="58"/>
      <c r="I137" s="58" t="s">
        <v>387</v>
      </c>
      <c r="J137" s="58"/>
      <c r="K137" s="51">
        <v>1600</v>
      </c>
      <c r="L137" s="19">
        <f t="shared" si="4"/>
        <v>0</v>
      </c>
      <c r="M137" s="19">
        <f t="shared" si="5"/>
        <v>0</v>
      </c>
      <c r="N137" s="19">
        <f t="shared" si="6"/>
        <v>0</v>
      </c>
      <c r="O137" s="19">
        <f t="shared" si="10"/>
        <v>0</v>
      </c>
      <c r="P137" s="46"/>
      <c r="Q137" s="45"/>
    </row>
    <row r="138" spans="1:17">
      <c r="A138" s="155" t="s">
        <v>192</v>
      </c>
      <c r="B138" s="243">
        <v>0</v>
      </c>
      <c r="C138" s="60">
        <v>1313</v>
      </c>
      <c r="D138" s="58">
        <v>1575</v>
      </c>
      <c r="E138" s="99">
        <v>2450</v>
      </c>
      <c r="F138" s="58"/>
      <c r="G138" s="58">
        <v>80</v>
      </c>
      <c r="H138" s="58"/>
      <c r="I138" s="58" t="s">
        <v>387</v>
      </c>
      <c r="J138" s="58"/>
      <c r="K138" s="51">
        <v>1600</v>
      </c>
      <c r="L138" s="19">
        <f t="shared" si="4"/>
        <v>0</v>
      </c>
      <c r="M138" s="19">
        <f t="shared" si="5"/>
        <v>0</v>
      </c>
      <c r="N138" s="19">
        <f t="shared" si="6"/>
        <v>0</v>
      </c>
      <c r="O138" s="19">
        <f t="shared" si="10"/>
        <v>0</v>
      </c>
      <c r="P138" s="46"/>
      <c r="Q138" s="45"/>
    </row>
    <row r="139" spans="1:17">
      <c r="A139" s="156" t="s">
        <v>193</v>
      </c>
      <c r="B139" s="243">
        <v>0</v>
      </c>
      <c r="C139" s="60">
        <v>1000</v>
      </c>
      <c r="D139" s="58">
        <v>2250</v>
      </c>
      <c r="E139" s="99">
        <v>5500</v>
      </c>
      <c r="F139" s="58"/>
      <c r="G139" s="58">
        <v>80</v>
      </c>
      <c r="H139" s="58"/>
      <c r="I139" s="58" t="s">
        <v>387</v>
      </c>
      <c r="J139" s="58"/>
      <c r="K139" s="51">
        <v>1600</v>
      </c>
      <c r="L139" s="19">
        <f t="shared" si="4"/>
        <v>0</v>
      </c>
      <c r="M139" s="19">
        <f t="shared" si="5"/>
        <v>0</v>
      </c>
      <c r="N139" s="19">
        <f t="shared" si="6"/>
        <v>0</v>
      </c>
      <c r="O139" s="19">
        <f t="shared" si="10"/>
        <v>0</v>
      </c>
      <c r="P139" s="46"/>
      <c r="Q139" s="45"/>
    </row>
    <row r="140" spans="1:17">
      <c r="A140" s="156" t="s">
        <v>194</v>
      </c>
      <c r="B140" s="243">
        <v>0</v>
      </c>
      <c r="C140" s="78">
        <v>750</v>
      </c>
      <c r="D140" s="43">
        <v>900</v>
      </c>
      <c r="E140" s="99">
        <v>1400</v>
      </c>
      <c r="F140" s="58">
        <v>960</v>
      </c>
      <c r="G140" s="58">
        <v>80</v>
      </c>
      <c r="H140" s="58"/>
      <c r="I140" s="58" t="s">
        <v>387</v>
      </c>
      <c r="J140" s="58"/>
      <c r="K140" s="51">
        <v>1600</v>
      </c>
      <c r="L140" s="19">
        <f t="shared" si="4"/>
        <v>0</v>
      </c>
      <c r="M140" s="19">
        <f t="shared" si="5"/>
        <v>0</v>
      </c>
      <c r="N140" s="19">
        <f t="shared" si="6"/>
        <v>0</v>
      </c>
      <c r="O140" s="19">
        <f t="shared" si="10"/>
        <v>0</v>
      </c>
      <c r="P140" s="46" t="s">
        <v>76</v>
      </c>
      <c r="Q140" s="45" t="s">
        <v>195</v>
      </c>
    </row>
    <row r="141" spans="1:17" ht="15.75" thickBot="1">
      <c r="A141" s="157" t="s">
        <v>196</v>
      </c>
      <c r="B141" s="244">
        <v>0</v>
      </c>
      <c r="C141" s="60">
        <v>3750</v>
      </c>
      <c r="D141" s="58">
        <v>4500</v>
      </c>
      <c r="E141" s="99">
        <v>7000</v>
      </c>
      <c r="F141" s="58"/>
      <c r="G141" s="58">
        <v>80</v>
      </c>
      <c r="H141" s="58"/>
      <c r="I141" s="58" t="s">
        <v>387</v>
      </c>
      <c r="J141" s="58"/>
      <c r="K141" s="51">
        <v>1600</v>
      </c>
      <c r="L141" s="21">
        <f t="shared" si="4"/>
        <v>0</v>
      </c>
      <c r="M141" s="21">
        <f t="shared" si="5"/>
        <v>0</v>
      </c>
      <c r="N141" s="21">
        <f t="shared" si="6"/>
        <v>0</v>
      </c>
      <c r="O141" s="21">
        <f t="shared" si="10"/>
        <v>0</v>
      </c>
      <c r="P141" s="53" t="s">
        <v>76</v>
      </c>
      <c r="Q141" s="49"/>
    </row>
    <row r="142" spans="1:17">
      <c r="A142" s="152" t="s">
        <v>657</v>
      </c>
      <c r="B142" s="242">
        <v>0</v>
      </c>
      <c r="C142" s="166">
        <v>200</v>
      </c>
      <c r="D142" s="167">
        <v>100</v>
      </c>
      <c r="E142" s="168">
        <v>120</v>
      </c>
      <c r="F142" s="167"/>
      <c r="G142" s="68">
        <v>12</v>
      </c>
      <c r="H142" s="68"/>
      <c r="I142" s="68" t="s">
        <v>391</v>
      </c>
      <c r="J142" s="167">
        <v>1</v>
      </c>
      <c r="K142" s="50">
        <v>450</v>
      </c>
      <c r="L142" s="40">
        <f t="shared" ref="L142:N146" si="11">$B142*C142</f>
        <v>0</v>
      </c>
      <c r="M142" s="40">
        <f t="shared" si="11"/>
        <v>0</v>
      </c>
      <c r="N142" s="40">
        <f t="shared" si="11"/>
        <v>0</v>
      </c>
      <c r="O142" s="40">
        <f t="shared" si="10"/>
        <v>0</v>
      </c>
      <c r="P142" s="55"/>
      <c r="Q142" s="42"/>
    </row>
    <row r="143" spans="1:17">
      <c r="A143" s="153" t="s">
        <v>574</v>
      </c>
      <c r="B143" s="243">
        <v>0</v>
      </c>
      <c r="C143" s="78">
        <v>450</v>
      </c>
      <c r="D143" s="43">
        <v>150</v>
      </c>
      <c r="E143" s="97">
        <v>180</v>
      </c>
      <c r="F143" s="43"/>
      <c r="G143" s="58">
        <v>20</v>
      </c>
      <c r="H143" s="58"/>
      <c r="I143" s="58" t="s">
        <v>391</v>
      </c>
      <c r="J143" s="43">
        <v>1</v>
      </c>
      <c r="K143" s="51">
        <v>450</v>
      </c>
      <c r="L143" s="19">
        <f t="shared" si="11"/>
        <v>0</v>
      </c>
      <c r="M143" s="19">
        <f t="shared" si="11"/>
        <v>0</v>
      </c>
      <c r="N143" s="19">
        <f t="shared" si="11"/>
        <v>0</v>
      </c>
      <c r="O143" s="19">
        <f t="shared" si="10"/>
        <v>0</v>
      </c>
      <c r="P143" s="46"/>
      <c r="Q143" s="26"/>
    </row>
    <row r="144" spans="1:17">
      <c r="A144" s="155" t="s">
        <v>575</v>
      </c>
      <c r="B144" s="243">
        <v>0</v>
      </c>
      <c r="C144" s="78">
        <v>600</v>
      </c>
      <c r="D144" s="43">
        <v>200</v>
      </c>
      <c r="E144" s="97">
        <v>240</v>
      </c>
      <c r="F144" s="43"/>
      <c r="G144" s="58">
        <v>20</v>
      </c>
      <c r="H144" s="58"/>
      <c r="I144" s="58" t="s">
        <v>391</v>
      </c>
      <c r="J144" s="43">
        <v>1</v>
      </c>
      <c r="K144" s="51">
        <v>450</v>
      </c>
      <c r="L144" s="19">
        <f t="shared" si="11"/>
        <v>0</v>
      </c>
      <c r="M144" s="19">
        <f t="shared" si="11"/>
        <v>0</v>
      </c>
      <c r="N144" s="19">
        <f t="shared" si="11"/>
        <v>0</v>
      </c>
      <c r="O144" s="19">
        <f t="shared" si="10"/>
        <v>0</v>
      </c>
      <c r="P144" s="46"/>
      <c r="Q144" s="26"/>
    </row>
    <row r="145" spans="1:17">
      <c r="A145" s="156" t="s">
        <v>576</v>
      </c>
      <c r="B145" s="243">
        <v>0</v>
      </c>
      <c r="C145" s="78">
        <v>1000</v>
      </c>
      <c r="D145" s="43">
        <v>300</v>
      </c>
      <c r="E145" s="97">
        <v>520</v>
      </c>
      <c r="F145" s="43"/>
      <c r="G145" s="58">
        <v>20</v>
      </c>
      <c r="H145" s="58"/>
      <c r="I145" s="58" t="s">
        <v>391</v>
      </c>
      <c r="J145" s="43">
        <v>1</v>
      </c>
      <c r="K145" s="51">
        <v>450</v>
      </c>
      <c r="L145" s="19">
        <f t="shared" si="11"/>
        <v>0</v>
      </c>
      <c r="M145" s="19">
        <f t="shared" si="11"/>
        <v>0</v>
      </c>
      <c r="N145" s="19">
        <f t="shared" si="11"/>
        <v>0</v>
      </c>
      <c r="O145" s="19">
        <f t="shared" si="10"/>
        <v>0</v>
      </c>
      <c r="P145" s="46"/>
      <c r="Q145" s="26"/>
    </row>
    <row r="146" spans="1:17" ht="15.75" thickBot="1">
      <c r="A146" s="157" t="s">
        <v>577</v>
      </c>
      <c r="B146" s="244">
        <v>0</v>
      </c>
      <c r="C146" s="79">
        <v>1300</v>
      </c>
      <c r="D146" s="47">
        <v>400</v>
      </c>
      <c r="E146" s="98">
        <v>720</v>
      </c>
      <c r="F146" s="47"/>
      <c r="G146" s="57">
        <v>20</v>
      </c>
      <c r="H146" s="57"/>
      <c r="I146" s="57" t="s">
        <v>391</v>
      </c>
      <c r="J146" s="47">
        <v>1</v>
      </c>
      <c r="K146" s="51">
        <v>450</v>
      </c>
      <c r="L146" s="19">
        <f t="shared" si="11"/>
        <v>0</v>
      </c>
      <c r="M146" s="21">
        <f t="shared" si="11"/>
        <v>0</v>
      </c>
      <c r="N146" s="21">
        <f t="shared" si="11"/>
        <v>0</v>
      </c>
      <c r="O146" s="21">
        <f t="shared" si="10"/>
        <v>0</v>
      </c>
      <c r="P146" s="53"/>
      <c r="Q146" s="54"/>
    </row>
    <row r="147" spans="1:17">
      <c r="A147" s="152" t="s">
        <v>658</v>
      </c>
      <c r="B147" s="242">
        <v>0</v>
      </c>
      <c r="C147" s="37">
        <v>550</v>
      </c>
      <c r="D147" s="38">
        <v>600</v>
      </c>
      <c r="E147" s="50">
        <v>955</v>
      </c>
      <c r="F147" s="37">
        <v>80</v>
      </c>
      <c r="G147" s="68">
        <v>60</v>
      </c>
      <c r="H147" s="68">
        <v>80</v>
      </c>
      <c r="I147" s="68" t="s">
        <v>389</v>
      </c>
      <c r="J147" s="38"/>
      <c r="K147" s="50">
        <v>2200</v>
      </c>
      <c r="L147" s="40">
        <f t="shared" si="4"/>
        <v>0</v>
      </c>
      <c r="M147" s="40">
        <f t="shared" si="5"/>
        <v>0</v>
      </c>
      <c r="N147" s="40">
        <f t="shared" si="6"/>
        <v>0</v>
      </c>
      <c r="O147" s="40">
        <f t="shared" si="10"/>
        <v>0</v>
      </c>
      <c r="P147" s="36"/>
      <c r="Q147" s="42" t="s">
        <v>371</v>
      </c>
    </row>
    <row r="148" spans="1:17">
      <c r="A148" s="153" t="s">
        <v>197</v>
      </c>
      <c r="B148" s="243">
        <v>0</v>
      </c>
      <c r="C148" s="60">
        <v>1100</v>
      </c>
      <c r="D148" s="58">
        <v>1000</v>
      </c>
      <c r="E148" s="99">
        <v>1000</v>
      </c>
      <c r="F148" s="60">
        <v>68</v>
      </c>
      <c r="G148" s="58">
        <v>100</v>
      </c>
      <c r="H148" s="58"/>
      <c r="I148" s="58" t="s">
        <v>387</v>
      </c>
      <c r="J148" s="58">
        <v>80</v>
      </c>
      <c r="K148" s="51">
        <v>2200</v>
      </c>
      <c r="L148" s="19">
        <f t="shared" si="4"/>
        <v>0</v>
      </c>
      <c r="M148" s="19">
        <f t="shared" si="5"/>
        <v>0</v>
      </c>
      <c r="N148" s="19">
        <f t="shared" si="6"/>
        <v>0</v>
      </c>
      <c r="O148" s="19">
        <f t="shared" si="10"/>
        <v>0</v>
      </c>
      <c r="P148" s="46"/>
      <c r="Q148" s="45" t="s">
        <v>198</v>
      </c>
    </row>
    <row r="149" spans="1:17">
      <c r="A149" s="153" t="s">
        <v>199</v>
      </c>
      <c r="B149" s="243">
        <v>0</v>
      </c>
      <c r="C149" s="78">
        <v>550</v>
      </c>
      <c r="D149" s="43">
        <v>900</v>
      </c>
      <c r="E149" s="97">
        <v>955</v>
      </c>
      <c r="F149" s="78">
        <v>160</v>
      </c>
      <c r="G149" s="58">
        <v>100</v>
      </c>
      <c r="H149" s="58"/>
      <c r="I149" s="58" t="s">
        <v>387</v>
      </c>
      <c r="J149" s="43"/>
      <c r="K149" s="51">
        <v>2200</v>
      </c>
      <c r="L149" s="19">
        <f t="shared" si="4"/>
        <v>0</v>
      </c>
      <c r="M149" s="19">
        <f t="shared" si="5"/>
        <v>0</v>
      </c>
      <c r="N149" s="19">
        <f t="shared" si="6"/>
        <v>0</v>
      </c>
      <c r="O149" s="19">
        <f t="shared" si="10"/>
        <v>0</v>
      </c>
      <c r="P149" s="46"/>
      <c r="Q149" s="45" t="s">
        <v>200</v>
      </c>
    </row>
    <row r="150" spans="1:17">
      <c r="A150" s="153" t="s">
        <v>201</v>
      </c>
      <c r="B150" s="243">
        <v>0</v>
      </c>
      <c r="C150" s="60">
        <v>1000</v>
      </c>
      <c r="D150" s="43">
        <v>850</v>
      </c>
      <c r="E150" s="97">
        <v>955</v>
      </c>
      <c r="F150" s="78"/>
      <c r="G150" s="58">
        <v>100</v>
      </c>
      <c r="H150" s="58"/>
      <c r="I150" s="58" t="s">
        <v>387</v>
      </c>
      <c r="J150" s="43"/>
      <c r="K150" s="51">
        <v>2200</v>
      </c>
      <c r="L150" s="19">
        <f t="shared" si="4"/>
        <v>0</v>
      </c>
      <c r="M150" s="19">
        <f t="shared" si="5"/>
        <v>0</v>
      </c>
      <c r="N150" s="19">
        <f t="shared" si="6"/>
        <v>0</v>
      </c>
      <c r="O150" s="19">
        <f t="shared" si="10"/>
        <v>0</v>
      </c>
      <c r="P150" s="46"/>
      <c r="Q150" s="45"/>
    </row>
    <row r="151" spans="1:17">
      <c r="A151" s="153" t="s">
        <v>202</v>
      </c>
      <c r="B151" s="243">
        <v>0</v>
      </c>
      <c r="C151" s="78">
        <v>550</v>
      </c>
      <c r="D151" s="43">
        <v>900</v>
      </c>
      <c r="E151" s="97">
        <v>955</v>
      </c>
      <c r="F151" s="78">
        <v>300</v>
      </c>
      <c r="G151" s="58">
        <v>100</v>
      </c>
      <c r="H151" s="58"/>
      <c r="I151" s="58" t="s">
        <v>387</v>
      </c>
      <c r="J151" s="43"/>
      <c r="K151" s="51">
        <v>2200</v>
      </c>
      <c r="L151" s="19">
        <f t="shared" si="4"/>
        <v>0</v>
      </c>
      <c r="M151" s="19">
        <f t="shared" si="5"/>
        <v>0</v>
      </c>
      <c r="N151" s="19">
        <f t="shared" si="6"/>
        <v>0</v>
      </c>
      <c r="O151" s="19">
        <f t="shared" si="10"/>
        <v>0</v>
      </c>
      <c r="P151" s="46"/>
      <c r="Q151" s="45" t="s">
        <v>243</v>
      </c>
    </row>
    <row r="152" spans="1:17">
      <c r="A152" s="153" t="s">
        <v>204</v>
      </c>
      <c r="B152" s="243">
        <v>0</v>
      </c>
      <c r="C152" s="78">
        <v>500</v>
      </c>
      <c r="D152" s="58">
        <v>1400</v>
      </c>
      <c r="E152" s="99">
        <v>1500</v>
      </c>
      <c r="F152" s="60">
        <v>72</v>
      </c>
      <c r="G152" s="58">
        <v>100</v>
      </c>
      <c r="H152" s="58"/>
      <c r="I152" s="58" t="s">
        <v>387</v>
      </c>
      <c r="J152" s="58"/>
      <c r="K152" s="51">
        <v>2200</v>
      </c>
      <c r="L152" s="19">
        <f t="shared" ref="L152:L229" si="12">$B152*C152</f>
        <v>0</v>
      </c>
      <c r="M152" s="19">
        <f t="shared" ref="M152:M229" si="13">$B152*D152</f>
        <v>0</v>
      </c>
      <c r="N152" s="19">
        <f t="shared" ref="N152:N229" si="14">$B152*E152</f>
        <v>0</v>
      </c>
      <c r="O152" s="19">
        <f t="shared" si="10"/>
        <v>0</v>
      </c>
      <c r="P152" s="46"/>
      <c r="Q152" s="45" t="s">
        <v>205</v>
      </c>
    </row>
    <row r="153" spans="1:17">
      <c r="A153" s="153" t="s">
        <v>206</v>
      </c>
      <c r="B153" s="243">
        <v>0</v>
      </c>
      <c r="C153" s="78">
        <v>550</v>
      </c>
      <c r="D153" s="43">
        <v>900</v>
      </c>
      <c r="E153" s="99">
        <v>2000</v>
      </c>
      <c r="F153" s="60">
        <v>80</v>
      </c>
      <c r="G153" s="58">
        <v>100</v>
      </c>
      <c r="H153" s="58"/>
      <c r="I153" s="58" t="s">
        <v>387</v>
      </c>
      <c r="J153" s="58"/>
      <c r="K153" s="51">
        <v>2200</v>
      </c>
      <c r="L153" s="19">
        <f t="shared" si="12"/>
        <v>0</v>
      </c>
      <c r="M153" s="19">
        <f t="shared" si="13"/>
        <v>0</v>
      </c>
      <c r="N153" s="19">
        <f t="shared" si="14"/>
        <v>0</v>
      </c>
      <c r="O153" s="19">
        <f t="shared" si="10"/>
        <v>0</v>
      </c>
      <c r="P153" s="46" t="s">
        <v>76</v>
      </c>
      <c r="Q153" s="45" t="s">
        <v>207</v>
      </c>
    </row>
    <row r="154" spans="1:17">
      <c r="A154" s="155" t="s">
        <v>208</v>
      </c>
      <c r="B154" s="243">
        <v>0</v>
      </c>
      <c r="C154" s="78">
        <v>550</v>
      </c>
      <c r="D154" s="43">
        <v>900</v>
      </c>
      <c r="E154" s="99">
        <v>2500</v>
      </c>
      <c r="F154" s="60">
        <v>160</v>
      </c>
      <c r="G154" s="58">
        <v>100</v>
      </c>
      <c r="H154" s="58"/>
      <c r="I154" s="58" t="s">
        <v>387</v>
      </c>
      <c r="J154" s="58"/>
      <c r="K154" s="51">
        <v>2200</v>
      </c>
      <c r="L154" s="19">
        <f t="shared" si="12"/>
        <v>0</v>
      </c>
      <c r="M154" s="19">
        <f t="shared" si="13"/>
        <v>0</v>
      </c>
      <c r="N154" s="19">
        <f t="shared" si="14"/>
        <v>0</v>
      </c>
      <c r="O154" s="19">
        <f t="shared" si="10"/>
        <v>0</v>
      </c>
      <c r="P154" s="46" t="s">
        <v>76</v>
      </c>
      <c r="Q154" s="45" t="s">
        <v>215</v>
      </c>
    </row>
    <row r="155" spans="1:17">
      <c r="A155" s="155" t="s">
        <v>210</v>
      </c>
      <c r="B155" s="243">
        <v>0</v>
      </c>
      <c r="C155" s="78">
        <v>450</v>
      </c>
      <c r="D155" s="58">
        <v>1500</v>
      </c>
      <c r="E155" s="99">
        <v>3500</v>
      </c>
      <c r="F155" s="60">
        <v>144</v>
      </c>
      <c r="G155" s="58">
        <v>100</v>
      </c>
      <c r="H155" s="58"/>
      <c r="I155" s="58" t="s">
        <v>387</v>
      </c>
      <c r="J155" s="58"/>
      <c r="K155" s="51">
        <v>2200</v>
      </c>
      <c r="L155" s="19">
        <f t="shared" si="12"/>
        <v>0</v>
      </c>
      <c r="M155" s="19">
        <f t="shared" si="13"/>
        <v>0</v>
      </c>
      <c r="N155" s="19">
        <f t="shared" si="14"/>
        <v>0</v>
      </c>
      <c r="O155" s="19">
        <f t="shared" si="10"/>
        <v>0</v>
      </c>
      <c r="P155" s="46" t="s">
        <v>76</v>
      </c>
      <c r="Q155" s="45" t="s">
        <v>239</v>
      </c>
    </row>
    <row r="156" spans="1:17">
      <c r="A156" s="155" t="s">
        <v>211</v>
      </c>
      <c r="B156" s="243">
        <v>0</v>
      </c>
      <c r="C156" s="60">
        <v>1200</v>
      </c>
      <c r="D156" s="43">
        <v>900</v>
      </c>
      <c r="E156" s="99">
        <v>2000</v>
      </c>
      <c r="F156" s="60"/>
      <c r="G156" s="58">
        <v>100</v>
      </c>
      <c r="H156" s="58"/>
      <c r="I156" s="58" t="s">
        <v>387</v>
      </c>
      <c r="J156" s="58"/>
      <c r="K156" s="51">
        <v>2200</v>
      </c>
      <c r="L156" s="19">
        <f t="shared" si="12"/>
        <v>0</v>
      </c>
      <c r="M156" s="19">
        <f t="shared" si="13"/>
        <v>0</v>
      </c>
      <c r="N156" s="19">
        <f t="shared" si="14"/>
        <v>0</v>
      </c>
      <c r="O156" s="19">
        <f t="shared" si="10"/>
        <v>0</v>
      </c>
      <c r="P156" s="46"/>
      <c r="Q156" s="45"/>
    </row>
    <row r="157" spans="1:17">
      <c r="A157" s="155" t="s">
        <v>212</v>
      </c>
      <c r="B157" s="243">
        <v>0</v>
      </c>
      <c r="C157" s="60">
        <v>1150</v>
      </c>
      <c r="D157" s="58">
        <v>1500</v>
      </c>
      <c r="E157" s="99">
        <v>1500</v>
      </c>
      <c r="F157" s="60"/>
      <c r="G157" s="58">
        <v>100</v>
      </c>
      <c r="H157" s="58"/>
      <c r="I157" s="58" t="s">
        <v>387</v>
      </c>
      <c r="J157" s="58"/>
      <c r="K157" s="51">
        <v>2200</v>
      </c>
      <c r="L157" s="19">
        <f t="shared" si="12"/>
        <v>0</v>
      </c>
      <c r="M157" s="19">
        <f t="shared" si="13"/>
        <v>0</v>
      </c>
      <c r="N157" s="19">
        <f t="shared" si="14"/>
        <v>0</v>
      </c>
      <c r="O157" s="19">
        <f t="shared" ref="O157:O172" si="15">$B157*K157</f>
        <v>0</v>
      </c>
      <c r="P157" s="46"/>
      <c r="Q157" s="45"/>
    </row>
    <row r="158" spans="1:17">
      <c r="A158" s="156" t="s">
        <v>213</v>
      </c>
      <c r="B158" s="243">
        <v>0</v>
      </c>
      <c r="C158" s="60">
        <v>2250</v>
      </c>
      <c r="D158" s="58">
        <v>1150</v>
      </c>
      <c r="E158" s="99">
        <v>2000</v>
      </c>
      <c r="F158" s="60"/>
      <c r="G158" s="58">
        <v>100</v>
      </c>
      <c r="H158" s="58"/>
      <c r="I158" s="58" t="s">
        <v>387</v>
      </c>
      <c r="J158" s="58"/>
      <c r="K158" s="51">
        <v>2200</v>
      </c>
      <c r="L158" s="19">
        <f t="shared" si="12"/>
        <v>0</v>
      </c>
      <c r="M158" s="19">
        <f t="shared" si="13"/>
        <v>0</v>
      </c>
      <c r="N158" s="19">
        <f t="shared" si="14"/>
        <v>0</v>
      </c>
      <c r="O158" s="19">
        <f t="shared" si="15"/>
        <v>0</v>
      </c>
      <c r="P158" s="46" t="s">
        <v>76</v>
      </c>
      <c r="Q158" s="45"/>
    </row>
    <row r="159" spans="1:17">
      <c r="A159" s="156" t="s">
        <v>214</v>
      </c>
      <c r="B159" s="243">
        <v>0</v>
      </c>
      <c r="C159" s="78">
        <v>550</v>
      </c>
      <c r="D159" s="58">
        <v>2000</v>
      </c>
      <c r="E159" s="99">
        <v>4000</v>
      </c>
      <c r="F159" s="60">
        <v>340</v>
      </c>
      <c r="G159" s="58">
        <v>100</v>
      </c>
      <c r="H159" s="58"/>
      <c r="I159" s="58" t="s">
        <v>386</v>
      </c>
      <c r="J159" s="58"/>
      <c r="K159" s="51">
        <v>2200</v>
      </c>
      <c r="L159" s="19">
        <f t="shared" si="12"/>
        <v>0</v>
      </c>
      <c r="M159" s="19">
        <f t="shared" si="13"/>
        <v>0</v>
      </c>
      <c r="N159" s="19">
        <f t="shared" si="14"/>
        <v>0</v>
      </c>
      <c r="O159" s="19">
        <f t="shared" si="15"/>
        <v>0</v>
      </c>
      <c r="P159" s="46" t="s">
        <v>76</v>
      </c>
      <c r="Q159" s="45" t="s">
        <v>215</v>
      </c>
    </row>
    <row r="160" spans="1:17" ht="15.75" thickBot="1">
      <c r="A160" s="157" t="s">
        <v>216</v>
      </c>
      <c r="B160" s="244">
        <v>0</v>
      </c>
      <c r="C160" s="61">
        <v>5500</v>
      </c>
      <c r="D160" s="57">
        <v>3000</v>
      </c>
      <c r="E160" s="100">
        <v>1500</v>
      </c>
      <c r="F160" s="61"/>
      <c r="G160" s="57">
        <v>100</v>
      </c>
      <c r="H160" s="57"/>
      <c r="I160" s="57" t="s">
        <v>389</v>
      </c>
      <c r="J160" s="57"/>
      <c r="K160" s="52">
        <v>2200</v>
      </c>
      <c r="L160" s="21">
        <f t="shared" si="12"/>
        <v>0</v>
      </c>
      <c r="M160" s="21">
        <f t="shared" si="13"/>
        <v>0</v>
      </c>
      <c r="N160" s="21">
        <f t="shared" si="14"/>
        <v>0</v>
      </c>
      <c r="O160" s="21">
        <f t="shared" si="15"/>
        <v>0</v>
      </c>
      <c r="P160" s="53" t="s">
        <v>79</v>
      </c>
      <c r="Q160" s="49"/>
    </row>
    <row r="161" spans="1:17">
      <c r="A161" s="152" t="s">
        <v>659</v>
      </c>
      <c r="B161" s="242">
        <v>0</v>
      </c>
      <c r="C161" s="77">
        <v>900</v>
      </c>
      <c r="D161" s="13">
        <v>1200</v>
      </c>
      <c r="E161" s="51">
        <v>1050</v>
      </c>
      <c r="F161" s="13"/>
      <c r="G161" s="58">
        <v>70</v>
      </c>
      <c r="H161" s="58">
        <v>60</v>
      </c>
      <c r="I161" s="58" t="s">
        <v>387</v>
      </c>
      <c r="J161" s="13"/>
      <c r="K161" s="51">
        <v>2400</v>
      </c>
      <c r="L161" s="40">
        <f t="shared" si="12"/>
        <v>0</v>
      </c>
      <c r="M161" s="40">
        <f t="shared" si="13"/>
        <v>0</v>
      </c>
      <c r="N161" s="40">
        <f t="shared" si="14"/>
        <v>0</v>
      </c>
      <c r="O161" s="40">
        <f t="shared" si="15"/>
        <v>0</v>
      </c>
      <c r="P161" s="36"/>
      <c r="Q161" s="42"/>
    </row>
    <row r="162" spans="1:17">
      <c r="A162" s="153" t="s">
        <v>217</v>
      </c>
      <c r="B162" s="243">
        <v>0</v>
      </c>
      <c r="C162" s="60">
        <v>1260</v>
      </c>
      <c r="D162" s="58">
        <v>1680</v>
      </c>
      <c r="E162" s="99">
        <v>1470</v>
      </c>
      <c r="F162" s="58"/>
      <c r="G162" s="58">
        <v>50</v>
      </c>
      <c r="H162" s="58"/>
      <c r="I162" s="58" t="s">
        <v>387</v>
      </c>
      <c r="J162" s="58">
        <v>50</v>
      </c>
      <c r="K162" s="51">
        <v>2400</v>
      </c>
      <c r="L162" s="19">
        <f t="shared" si="12"/>
        <v>0</v>
      </c>
      <c r="M162" s="19">
        <f t="shared" si="13"/>
        <v>0</v>
      </c>
      <c r="N162" s="19">
        <f t="shared" si="14"/>
        <v>0</v>
      </c>
      <c r="O162" s="19">
        <f t="shared" si="15"/>
        <v>0</v>
      </c>
      <c r="P162" s="46" t="s">
        <v>76</v>
      </c>
      <c r="Q162" s="45"/>
    </row>
    <row r="163" spans="1:17">
      <c r="A163" s="153" t="s">
        <v>218</v>
      </c>
      <c r="B163" s="243">
        <v>0</v>
      </c>
      <c r="C163" s="60">
        <v>1125</v>
      </c>
      <c r="D163" s="58">
        <v>1500</v>
      </c>
      <c r="E163" s="99">
        <v>1313</v>
      </c>
      <c r="F163" s="58"/>
      <c r="G163" s="58">
        <v>50</v>
      </c>
      <c r="H163" s="58"/>
      <c r="I163" s="58" t="s">
        <v>387</v>
      </c>
      <c r="J163" s="58"/>
      <c r="K163" s="51">
        <v>2400</v>
      </c>
      <c r="L163" s="19">
        <f t="shared" si="12"/>
        <v>0</v>
      </c>
      <c r="M163" s="19">
        <f t="shared" si="13"/>
        <v>0</v>
      </c>
      <c r="N163" s="19">
        <f t="shared" si="14"/>
        <v>0</v>
      </c>
      <c r="O163" s="19">
        <f t="shared" si="15"/>
        <v>0</v>
      </c>
      <c r="P163" s="46"/>
      <c r="Q163" s="45"/>
    </row>
    <row r="164" spans="1:17">
      <c r="A164" s="153" t="s">
        <v>219</v>
      </c>
      <c r="B164" s="243">
        <v>0</v>
      </c>
      <c r="C164" s="60">
        <v>1450</v>
      </c>
      <c r="D164" s="58">
        <v>1500</v>
      </c>
      <c r="E164" s="99">
        <v>1000</v>
      </c>
      <c r="F164" s="58"/>
      <c r="G164" s="58">
        <v>50</v>
      </c>
      <c r="H164" s="58"/>
      <c r="I164" s="58" t="s">
        <v>387</v>
      </c>
      <c r="J164" s="58"/>
      <c r="K164" s="51">
        <v>2400</v>
      </c>
      <c r="L164" s="19">
        <f t="shared" si="12"/>
        <v>0</v>
      </c>
      <c r="M164" s="19">
        <f t="shared" si="13"/>
        <v>0</v>
      </c>
      <c r="N164" s="19">
        <f t="shared" si="14"/>
        <v>0</v>
      </c>
      <c r="O164" s="19">
        <f t="shared" si="15"/>
        <v>0</v>
      </c>
      <c r="P164" s="46"/>
      <c r="Q164" s="45"/>
    </row>
    <row r="165" spans="1:17">
      <c r="A165" s="153" t="s">
        <v>220</v>
      </c>
      <c r="B165" s="243">
        <v>0</v>
      </c>
      <c r="C165" s="78">
        <v>990</v>
      </c>
      <c r="D165" s="58">
        <v>1320</v>
      </c>
      <c r="E165" s="99">
        <v>1155</v>
      </c>
      <c r="F165" s="58"/>
      <c r="G165" s="58">
        <v>50</v>
      </c>
      <c r="H165" s="58"/>
      <c r="I165" s="58" t="s">
        <v>387</v>
      </c>
      <c r="J165" s="58"/>
      <c r="K165" s="51">
        <v>2400</v>
      </c>
      <c r="L165" s="19">
        <f t="shared" si="12"/>
        <v>0</v>
      </c>
      <c r="M165" s="19">
        <f t="shared" si="13"/>
        <v>0</v>
      </c>
      <c r="N165" s="19">
        <f t="shared" si="14"/>
        <v>0</v>
      </c>
      <c r="O165" s="19">
        <f t="shared" si="15"/>
        <v>0</v>
      </c>
      <c r="P165" s="46" t="s">
        <v>76</v>
      </c>
      <c r="Q165" s="45"/>
    </row>
    <row r="166" spans="1:17">
      <c r="A166" s="153" t="s">
        <v>221</v>
      </c>
      <c r="B166" s="243">
        <v>0</v>
      </c>
      <c r="C166" s="60">
        <v>1125</v>
      </c>
      <c r="D166" s="58">
        <v>1500</v>
      </c>
      <c r="E166" s="99">
        <v>1313</v>
      </c>
      <c r="F166" s="58"/>
      <c r="G166" s="58">
        <v>50</v>
      </c>
      <c r="H166" s="58"/>
      <c r="I166" s="58" t="s">
        <v>387</v>
      </c>
      <c r="J166" s="58"/>
      <c r="K166" s="51">
        <v>2400</v>
      </c>
      <c r="L166" s="19">
        <f t="shared" si="12"/>
        <v>0</v>
      </c>
      <c r="M166" s="19">
        <f t="shared" si="13"/>
        <v>0</v>
      </c>
      <c r="N166" s="19">
        <f t="shared" si="14"/>
        <v>0</v>
      </c>
      <c r="O166" s="19">
        <f t="shared" si="15"/>
        <v>0</v>
      </c>
      <c r="P166" s="46"/>
      <c r="Q166" s="45"/>
    </row>
    <row r="167" spans="1:17">
      <c r="A167" s="153" t="s">
        <v>222</v>
      </c>
      <c r="B167" s="243">
        <v>0</v>
      </c>
      <c r="C167" s="60">
        <v>1125</v>
      </c>
      <c r="D167" s="58">
        <v>1500</v>
      </c>
      <c r="E167" s="99">
        <v>1313</v>
      </c>
      <c r="F167" s="58"/>
      <c r="G167" s="58">
        <v>50</v>
      </c>
      <c r="H167" s="58"/>
      <c r="I167" s="58" t="s">
        <v>387</v>
      </c>
      <c r="J167" s="58"/>
      <c r="K167" s="51">
        <v>2400</v>
      </c>
      <c r="L167" s="19">
        <f t="shared" si="12"/>
        <v>0</v>
      </c>
      <c r="M167" s="19">
        <f t="shared" si="13"/>
        <v>0</v>
      </c>
      <c r="N167" s="19">
        <f t="shared" si="14"/>
        <v>0</v>
      </c>
      <c r="O167" s="19">
        <f t="shared" si="15"/>
        <v>0</v>
      </c>
      <c r="P167" s="46"/>
      <c r="Q167" s="45"/>
    </row>
    <row r="168" spans="1:17">
      <c r="A168" s="155" t="s">
        <v>223</v>
      </c>
      <c r="B168" s="243">
        <v>0</v>
      </c>
      <c r="C168" s="60">
        <v>1995</v>
      </c>
      <c r="D168" s="58">
        <v>1700</v>
      </c>
      <c r="E168" s="99">
        <v>1838</v>
      </c>
      <c r="F168" s="58"/>
      <c r="G168" s="58">
        <v>50</v>
      </c>
      <c r="H168" s="58"/>
      <c r="I168" s="58" t="s">
        <v>387</v>
      </c>
      <c r="J168" s="58"/>
      <c r="K168" s="51">
        <v>2400</v>
      </c>
      <c r="L168" s="19">
        <f t="shared" si="12"/>
        <v>0</v>
      </c>
      <c r="M168" s="19">
        <f t="shared" si="13"/>
        <v>0</v>
      </c>
      <c r="N168" s="19">
        <f t="shared" si="14"/>
        <v>0</v>
      </c>
      <c r="O168" s="19">
        <f t="shared" si="15"/>
        <v>0</v>
      </c>
      <c r="P168" s="46"/>
      <c r="Q168" s="45"/>
    </row>
    <row r="169" spans="1:17">
      <c r="A169" s="155" t="s">
        <v>224</v>
      </c>
      <c r="B169" s="243">
        <v>0</v>
      </c>
      <c r="C169" s="60">
        <v>1840</v>
      </c>
      <c r="D169" s="58">
        <v>1920</v>
      </c>
      <c r="E169" s="99">
        <v>1280</v>
      </c>
      <c r="F169" s="58"/>
      <c r="G169" s="58">
        <v>50</v>
      </c>
      <c r="H169" s="58"/>
      <c r="I169" s="58" t="s">
        <v>387</v>
      </c>
      <c r="J169" s="58"/>
      <c r="K169" s="51">
        <v>2400</v>
      </c>
      <c r="L169" s="19">
        <f t="shared" si="12"/>
        <v>0</v>
      </c>
      <c r="M169" s="19">
        <f t="shared" si="13"/>
        <v>0</v>
      </c>
      <c r="N169" s="19">
        <f t="shared" si="14"/>
        <v>0</v>
      </c>
      <c r="O169" s="19">
        <f t="shared" si="15"/>
        <v>0</v>
      </c>
      <c r="P169" s="46" t="s">
        <v>76</v>
      </c>
      <c r="Q169" s="45"/>
    </row>
    <row r="170" spans="1:17">
      <c r="A170" s="155" t="s">
        <v>225</v>
      </c>
      <c r="B170" s="243">
        <v>0</v>
      </c>
      <c r="C170" s="60">
        <v>1800</v>
      </c>
      <c r="D170" s="58">
        <v>2000</v>
      </c>
      <c r="E170" s="99">
        <v>1800</v>
      </c>
      <c r="F170" s="58"/>
      <c r="G170" s="58">
        <v>50</v>
      </c>
      <c r="H170" s="58"/>
      <c r="I170" s="58" t="s">
        <v>387</v>
      </c>
      <c r="J170" s="58"/>
      <c r="K170" s="51">
        <v>2400</v>
      </c>
      <c r="L170" s="19">
        <f t="shared" si="12"/>
        <v>0</v>
      </c>
      <c r="M170" s="19">
        <f t="shared" si="13"/>
        <v>0</v>
      </c>
      <c r="N170" s="19">
        <f t="shared" si="14"/>
        <v>0</v>
      </c>
      <c r="O170" s="19">
        <f t="shared" si="15"/>
        <v>0</v>
      </c>
      <c r="P170" s="46"/>
      <c r="Q170" s="45"/>
    </row>
    <row r="171" spans="1:17">
      <c r="A171" s="155" t="s">
        <v>226</v>
      </c>
      <c r="B171" s="243">
        <v>0</v>
      </c>
      <c r="C171" s="60">
        <v>1700</v>
      </c>
      <c r="D171" s="58">
        <v>1800</v>
      </c>
      <c r="E171" s="99">
        <v>1575</v>
      </c>
      <c r="F171" s="58"/>
      <c r="G171" s="58">
        <v>50</v>
      </c>
      <c r="H171" s="58"/>
      <c r="I171" s="58" t="s">
        <v>386</v>
      </c>
      <c r="J171" s="58"/>
      <c r="K171" s="51">
        <v>2400</v>
      </c>
      <c r="L171" s="19">
        <f t="shared" si="12"/>
        <v>0</v>
      </c>
      <c r="M171" s="19">
        <f t="shared" si="13"/>
        <v>0</v>
      </c>
      <c r="N171" s="19">
        <f t="shared" si="14"/>
        <v>0</v>
      </c>
      <c r="O171" s="19">
        <f t="shared" si="15"/>
        <v>0</v>
      </c>
      <c r="P171" s="46" t="s">
        <v>76</v>
      </c>
      <c r="Q171" s="45"/>
    </row>
    <row r="172" spans="1:17">
      <c r="A172" s="156" t="s">
        <v>227</v>
      </c>
      <c r="B172" s="243">
        <v>0</v>
      </c>
      <c r="C172" s="60">
        <v>3000</v>
      </c>
      <c r="D172" s="58">
        <v>2000</v>
      </c>
      <c r="E172" s="99">
        <v>2625</v>
      </c>
      <c r="F172" s="58">
        <v>68</v>
      </c>
      <c r="G172" s="58">
        <v>50</v>
      </c>
      <c r="H172" s="58"/>
      <c r="I172" s="58" t="s">
        <v>387</v>
      </c>
      <c r="J172" s="58"/>
      <c r="K172" s="51">
        <v>2400</v>
      </c>
      <c r="L172" s="19">
        <f t="shared" si="12"/>
        <v>0</v>
      </c>
      <c r="M172" s="19">
        <f t="shared" si="13"/>
        <v>0</v>
      </c>
      <c r="N172" s="19">
        <f t="shared" si="14"/>
        <v>0</v>
      </c>
      <c r="O172" s="19">
        <f t="shared" si="15"/>
        <v>0</v>
      </c>
      <c r="P172" s="46" t="s">
        <v>76</v>
      </c>
      <c r="Q172" s="45" t="s">
        <v>198</v>
      </c>
    </row>
    <row r="173" spans="1:17">
      <c r="A173" s="156" t="s">
        <v>228</v>
      </c>
      <c r="B173" s="243">
        <v>0</v>
      </c>
      <c r="C173" s="60">
        <v>1900</v>
      </c>
      <c r="D173" s="58">
        <v>1200</v>
      </c>
      <c r="E173" s="99">
        <v>4050</v>
      </c>
      <c r="F173" s="58">
        <v>260</v>
      </c>
      <c r="G173" s="58">
        <v>50</v>
      </c>
      <c r="H173" s="58"/>
      <c r="I173" s="58" t="s">
        <v>387</v>
      </c>
      <c r="J173" s="58"/>
      <c r="K173" s="51">
        <v>2400</v>
      </c>
      <c r="L173" s="19">
        <f t="shared" si="12"/>
        <v>0</v>
      </c>
      <c r="M173" s="19">
        <f t="shared" si="13"/>
        <v>0</v>
      </c>
      <c r="N173" s="19">
        <f t="shared" si="14"/>
        <v>0</v>
      </c>
      <c r="O173" s="19">
        <f t="shared" ref="O173:O193" si="16">$B173*K173</f>
        <v>0</v>
      </c>
      <c r="P173" s="46" t="s">
        <v>79</v>
      </c>
      <c r="Q173" s="45" t="s">
        <v>229</v>
      </c>
    </row>
    <row r="174" spans="1:17" ht="15.75" thickBot="1">
      <c r="A174" s="157" t="s">
        <v>230</v>
      </c>
      <c r="B174" s="244">
        <v>0</v>
      </c>
      <c r="C174" s="60">
        <v>6000</v>
      </c>
      <c r="D174" s="58">
        <v>4000</v>
      </c>
      <c r="E174" s="99">
        <v>5000</v>
      </c>
      <c r="F174" s="58"/>
      <c r="G174" s="58">
        <v>50</v>
      </c>
      <c r="H174" s="58"/>
      <c r="I174" s="58" t="s">
        <v>387</v>
      </c>
      <c r="J174" s="58"/>
      <c r="K174" s="51">
        <v>2400</v>
      </c>
      <c r="L174" s="21">
        <f t="shared" si="12"/>
        <v>0</v>
      </c>
      <c r="M174" s="21">
        <f t="shared" si="13"/>
        <v>0</v>
      </c>
      <c r="N174" s="21">
        <f t="shared" si="14"/>
        <v>0</v>
      </c>
      <c r="O174" s="21">
        <f t="shared" si="16"/>
        <v>0</v>
      </c>
      <c r="P174" s="53" t="s">
        <v>92</v>
      </c>
      <c r="Q174" s="49"/>
    </row>
    <row r="175" spans="1:17">
      <c r="A175" s="152" t="s">
        <v>660</v>
      </c>
      <c r="B175" s="242">
        <v>0</v>
      </c>
      <c r="C175" s="166">
        <v>1600</v>
      </c>
      <c r="D175" s="167">
        <v>1300</v>
      </c>
      <c r="E175" s="168">
        <v>1800</v>
      </c>
      <c r="F175" s="167"/>
      <c r="G175" s="68">
        <v>80</v>
      </c>
      <c r="H175" s="68"/>
      <c r="I175" s="68" t="s">
        <v>391</v>
      </c>
      <c r="J175" s="167">
        <v>1</v>
      </c>
      <c r="K175" s="50">
        <v>3200</v>
      </c>
      <c r="L175" s="40">
        <f t="shared" si="12"/>
        <v>0</v>
      </c>
      <c r="M175" s="40">
        <f t="shared" si="13"/>
        <v>0</v>
      </c>
      <c r="N175" s="40">
        <f t="shared" si="14"/>
        <v>0</v>
      </c>
      <c r="O175" s="40">
        <f t="shared" si="16"/>
        <v>0</v>
      </c>
      <c r="P175" s="55"/>
      <c r="Q175" s="42"/>
    </row>
    <row r="176" spans="1:17">
      <c r="A176" s="153" t="s">
        <v>579</v>
      </c>
      <c r="B176" s="243">
        <v>0</v>
      </c>
      <c r="C176" s="78">
        <v>1800</v>
      </c>
      <c r="D176" s="43">
        <v>1500</v>
      </c>
      <c r="E176" s="97">
        <v>2200</v>
      </c>
      <c r="F176" s="43"/>
      <c r="G176" s="58">
        <v>120</v>
      </c>
      <c r="H176" s="58"/>
      <c r="I176" s="58" t="s">
        <v>391</v>
      </c>
      <c r="J176" s="43">
        <v>1</v>
      </c>
      <c r="K176" s="51">
        <v>3200</v>
      </c>
      <c r="L176" s="19">
        <f t="shared" si="12"/>
        <v>0</v>
      </c>
      <c r="M176" s="19">
        <f t="shared" si="13"/>
        <v>0</v>
      </c>
      <c r="N176" s="19">
        <f t="shared" si="14"/>
        <v>0</v>
      </c>
      <c r="O176" s="19">
        <f t="shared" si="16"/>
        <v>0</v>
      </c>
      <c r="P176" s="46"/>
      <c r="Q176" s="26"/>
    </row>
    <row r="177" spans="1:17">
      <c r="A177" s="155" t="s">
        <v>580</v>
      </c>
      <c r="B177" s="243">
        <v>0</v>
      </c>
      <c r="C177" s="78">
        <v>2500</v>
      </c>
      <c r="D177" s="43">
        <v>2100</v>
      </c>
      <c r="E177" s="97">
        <v>3100</v>
      </c>
      <c r="F177" s="43"/>
      <c r="G177" s="58">
        <v>120</v>
      </c>
      <c r="H177" s="58"/>
      <c r="I177" s="58" t="s">
        <v>391</v>
      </c>
      <c r="J177" s="43">
        <v>1</v>
      </c>
      <c r="K177" s="51">
        <v>3200</v>
      </c>
      <c r="L177" s="19">
        <f t="shared" si="12"/>
        <v>0</v>
      </c>
      <c r="M177" s="19">
        <f t="shared" si="13"/>
        <v>0</v>
      </c>
      <c r="N177" s="19">
        <f t="shared" si="14"/>
        <v>0</v>
      </c>
      <c r="O177" s="19">
        <f t="shared" si="16"/>
        <v>0</v>
      </c>
      <c r="P177" s="46"/>
      <c r="Q177" s="26"/>
    </row>
    <row r="178" spans="1:17">
      <c r="A178" s="156" t="s">
        <v>581</v>
      </c>
      <c r="B178" s="243">
        <v>0</v>
      </c>
      <c r="C178" s="78">
        <v>3300</v>
      </c>
      <c r="D178" s="43">
        <v>2800</v>
      </c>
      <c r="E178" s="97">
        <v>4800</v>
      </c>
      <c r="F178" s="43"/>
      <c r="G178" s="58">
        <v>120</v>
      </c>
      <c r="H178" s="58"/>
      <c r="I178" s="58" t="s">
        <v>391</v>
      </c>
      <c r="J178" s="43">
        <v>1</v>
      </c>
      <c r="K178" s="51">
        <v>3200</v>
      </c>
      <c r="L178" s="19">
        <f t="shared" si="12"/>
        <v>0</v>
      </c>
      <c r="M178" s="19">
        <f t="shared" si="13"/>
        <v>0</v>
      </c>
      <c r="N178" s="19">
        <f t="shared" si="14"/>
        <v>0</v>
      </c>
      <c r="O178" s="19">
        <f t="shared" si="16"/>
        <v>0</v>
      </c>
      <c r="P178" s="46"/>
      <c r="Q178" s="26"/>
    </row>
    <row r="179" spans="1:17" ht="15.75" thickBot="1">
      <c r="A179" s="157" t="s">
        <v>582</v>
      </c>
      <c r="B179" s="244">
        <v>0</v>
      </c>
      <c r="C179" s="79">
        <v>6600</v>
      </c>
      <c r="D179" s="47">
        <v>5200</v>
      </c>
      <c r="E179" s="98">
        <v>10200</v>
      </c>
      <c r="F179" s="47"/>
      <c r="G179" s="57">
        <v>120</v>
      </c>
      <c r="H179" s="57"/>
      <c r="I179" s="57" t="s">
        <v>391</v>
      </c>
      <c r="J179" s="47">
        <v>1</v>
      </c>
      <c r="K179" s="51">
        <v>3200</v>
      </c>
      <c r="L179" s="19">
        <f t="shared" si="12"/>
        <v>0</v>
      </c>
      <c r="M179" s="21">
        <f t="shared" si="13"/>
        <v>0</v>
      </c>
      <c r="N179" s="21">
        <f t="shared" si="14"/>
        <v>0</v>
      </c>
      <c r="O179" s="21">
        <f t="shared" si="16"/>
        <v>0</v>
      </c>
      <c r="P179" s="53"/>
      <c r="Q179" s="54"/>
    </row>
    <row r="180" spans="1:17">
      <c r="A180" s="152" t="s">
        <v>661</v>
      </c>
      <c r="B180" s="242">
        <v>0</v>
      </c>
      <c r="C180" s="37">
        <v>1000</v>
      </c>
      <c r="D180" s="38">
        <v>680</v>
      </c>
      <c r="E180" s="50">
        <v>1305</v>
      </c>
      <c r="F180" s="38"/>
      <c r="G180" s="68">
        <v>35</v>
      </c>
      <c r="H180" s="68">
        <v>60</v>
      </c>
      <c r="I180" s="68" t="s">
        <v>389</v>
      </c>
      <c r="J180" s="38"/>
      <c r="K180" s="50">
        <v>1300</v>
      </c>
      <c r="L180" s="40">
        <f t="shared" si="12"/>
        <v>0</v>
      </c>
      <c r="M180" s="40">
        <f t="shared" si="13"/>
        <v>0</v>
      </c>
      <c r="N180" s="40">
        <f t="shared" si="14"/>
        <v>0</v>
      </c>
      <c r="O180" s="40">
        <f t="shared" si="16"/>
        <v>0</v>
      </c>
      <c r="P180" s="36"/>
      <c r="Q180" s="42"/>
    </row>
    <row r="181" spans="1:17">
      <c r="A181" s="153" t="s">
        <v>231</v>
      </c>
      <c r="B181" s="243">
        <v>0</v>
      </c>
      <c r="C181" s="60">
        <v>1850</v>
      </c>
      <c r="D181" s="43">
        <v>450</v>
      </c>
      <c r="E181" s="99">
        <v>1431</v>
      </c>
      <c r="F181" s="58"/>
      <c r="G181" s="58">
        <v>100</v>
      </c>
      <c r="H181" s="58"/>
      <c r="I181" s="58" t="s">
        <v>389</v>
      </c>
      <c r="J181" s="58">
        <v>75</v>
      </c>
      <c r="K181" s="51">
        <v>1300</v>
      </c>
      <c r="L181" s="19">
        <f t="shared" si="12"/>
        <v>0</v>
      </c>
      <c r="M181" s="19">
        <f t="shared" si="13"/>
        <v>0</v>
      </c>
      <c r="N181" s="19">
        <f t="shared" si="14"/>
        <v>0</v>
      </c>
      <c r="O181" s="19">
        <f t="shared" si="16"/>
        <v>0</v>
      </c>
      <c r="P181" s="46" t="s">
        <v>76</v>
      </c>
      <c r="Q181" s="45"/>
    </row>
    <row r="182" spans="1:17">
      <c r="A182" s="153" t="s">
        <v>232</v>
      </c>
      <c r="B182" s="243">
        <v>0</v>
      </c>
      <c r="C182" s="60">
        <v>1250</v>
      </c>
      <c r="D182" s="43">
        <v>850</v>
      </c>
      <c r="E182" s="99">
        <v>1631</v>
      </c>
      <c r="F182" s="58"/>
      <c r="G182" s="58">
        <v>100</v>
      </c>
      <c r="H182" s="58"/>
      <c r="I182" s="58" t="s">
        <v>389</v>
      </c>
      <c r="J182" s="58"/>
      <c r="K182" s="51">
        <v>1300</v>
      </c>
      <c r="L182" s="19">
        <f t="shared" si="12"/>
        <v>0</v>
      </c>
      <c r="M182" s="19">
        <f t="shared" si="13"/>
        <v>0</v>
      </c>
      <c r="N182" s="19">
        <f t="shared" si="14"/>
        <v>0</v>
      </c>
      <c r="O182" s="19">
        <f t="shared" si="16"/>
        <v>0</v>
      </c>
      <c r="P182" s="46"/>
      <c r="Q182" s="45"/>
    </row>
    <row r="183" spans="1:17">
      <c r="A183" s="153" t="s">
        <v>233</v>
      </c>
      <c r="B183" s="243">
        <v>0</v>
      </c>
      <c r="C183" s="60">
        <v>1450</v>
      </c>
      <c r="D183" s="43">
        <v>950</v>
      </c>
      <c r="E183" s="99">
        <v>1231</v>
      </c>
      <c r="F183" s="58"/>
      <c r="G183" s="58">
        <v>100</v>
      </c>
      <c r="H183" s="58"/>
      <c r="I183" s="58" t="s">
        <v>389</v>
      </c>
      <c r="J183" s="58"/>
      <c r="K183" s="51">
        <v>1300</v>
      </c>
      <c r="L183" s="19">
        <f t="shared" si="12"/>
        <v>0</v>
      </c>
      <c r="M183" s="19">
        <f t="shared" si="13"/>
        <v>0</v>
      </c>
      <c r="N183" s="19">
        <f t="shared" si="14"/>
        <v>0</v>
      </c>
      <c r="O183" s="19">
        <f t="shared" si="16"/>
        <v>0</v>
      </c>
      <c r="P183" s="46"/>
      <c r="Q183" s="45"/>
    </row>
    <row r="184" spans="1:17">
      <c r="A184" s="153" t="s">
        <v>234</v>
      </c>
      <c r="B184" s="243">
        <v>0</v>
      </c>
      <c r="C184" s="60">
        <v>1150</v>
      </c>
      <c r="D184" s="43">
        <v>782</v>
      </c>
      <c r="E184" s="99">
        <v>1501</v>
      </c>
      <c r="F184" s="58"/>
      <c r="G184" s="58">
        <v>100</v>
      </c>
      <c r="H184" s="58"/>
      <c r="I184" s="58" t="s">
        <v>389</v>
      </c>
      <c r="J184" s="58"/>
      <c r="K184" s="51">
        <v>1300</v>
      </c>
      <c r="L184" s="19">
        <f t="shared" si="12"/>
        <v>0</v>
      </c>
      <c r="M184" s="19">
        <f t="shared" si="13"/>
        <v>0</v>
      </c>
      <c r="N184" s="19">
        <f t="shared" si="14"/>
        <v>0</v>
      </c>
      <c r="O184" s="19">
        <f t="shared" si="16"/>
        <v>0</v>
      </c>
      <c r="P184" s="46"/>
      <c r="Q184" s="45"/>
    </row>
    <row r="185" spans="1:17">
      <c r="A185" s="153" t="s">
        <v>235</v>
      </c>
      <c r="B185" s="243">
        <v>0</v>
      </c>
      <c r="C185" s="60">
        <v>1450</v>
      </c>
      <c r="D185" s="43">
        <v>850</v>
      </c>
      <c r="E185" s="99">
        <v>1431</v>
      </c>
      <c r="F185" s="58"/>
      <c r="G185" s="58">
        <v>100</v>
      </c>
      <c r="H185" s="58"/>
      <c r="I185" s="58" t="s">
        <v>389</v>
      </c>
      <c r="J185" s="58"/>
      <c r="K185" s="51">
        <v>1300</v>
      </c>
      <c r="L185" s="19">
        <f t="shared" si="12"/>
        <v>0</v>
      </c>
      <c r="M185" s="19">
        <f t="shared" si="13"/>
        <v>0</v>
      </c>
      <c r="N185" s="19">
        <f t="shared" si="14"/>
        <v>0</v>
      </c>
      <c r="O185" s="19">
        <f t="shared" si="16"/>
        <v>0</v>
      </c>
      <c r="P185" s="46"/>
      <c r="Q185" s="45"/>
    </row>
    <row r="186" spans="1:17">
      <c r="A186" s="153" t="s">
        <v>236</v>
      </c>
      <c r="B186" s="243">
        <v>0</v>
      </c>
      <c r="C186" s="60">
        <v>1050</v>
      </c>
      <c r="D186" s="58">
        <v>1050</v>
      </c>
      <c r="E186" s="99">
        <v>1631</v>
      </c>
      <c r="F186" s="58"/>
      <c r="G186" s="58">
        <v>100</v>
      </c>
      <c r="H186" s="58"/>
      <c r="I186" s="58" t="s">
        <v>389</v>
      </c>
      <c r="J186" s="58"/>
      <c r="K186" s="51">
        <v>1300</v>
      </c>
      <c r="L186" s="19">
        <f t="shared" si="12"/>
        <v>0</v>
      </c>
      <c r="M186" s="19">
        <f t="shared" si="13"/>
        <v>0</v>
      </c>
      <c r="N186" s="19">
        <f t="shared" si="14"/>
        <v>0</v>
      </c>
      <c r="O186" s="19">
        <f t="shared" si="16"/>
        <v>0</v>
      </c>
      <c r="P186" s="46"/>
      <c r="Q186" s="45"/>
    </row>
    <row r="187" spans="1:17">
      <c r="A187" s="155" t="s">
        <v>237</v>
      </c>
      <c r="B187" s="243">
        <v>0</v>
      </c>
      <c r="C187" s="60">
        <v>1750</v>
      </c>
      <c r="D187" s="58">
        <v>1190</v>
      </c>
      <c r="E187" s="99">
        <v>2284</v>
      </c>
      <c r="F187" s="58"/>
      <c r="G187" s="58">
        <v>100</v>
      </c>
      <c r="H187" s="58"/>
      <c r="I187" s="58" t="s">
        <v>389</v>
      </c>
      <c r="J187" s="58"/>
      <c r="K187" s="51">
        <v>1300</v>
      </c>
      <c r="L187" s="19">
        <f t="shared" si="12"/>
        <v>0</v>
      </c>
      <c r="M187" s="19">
        <f t="shared" si="13"/>
        <v>0</v>
      </c>
      <c r="N187" s="19">
        <f t="shared" si="14"/>
        <v>0</v>
      </c>
      <c r="O187" s="19">
        <f t="shared" si="16"/>
        <v>0</v>
      </c>
      <c r="P187" s="46"/>
      <c r="Q187" s="45"/>
    </row>
    <row r="188" spans="1:17">
      <c r="A188" s="155" t="s">
        <v>238</v>
      </c>
      <c r="B188" s="243">
        <v>0</v>
      </c>
      <c r="C188" s="60">
        <v>1750</v>
      </c>
      <c r="D188" s="58">
        <v>1190</v>
      </c>
      <c r="E188" s="99">
        <v>2284</v>
      </c>
      <c r="F188" s="58">
        <v>270</v>
      </c>
      <c r="G188" s="58">
        <v>100</v>
      </c>
      <c r="H188" s="58"/>
      <c r="I188" s="58" t="s">
        <v>389</v>
      </c>
      <c r="J188" s="58"/>
      <c r="K188" s="51">
        <v>1300</v>
      </c>
      <c r="L188" s="19">
        <f t="shared" si="12"/>
        <v>0</v>
      </c>
      <c r="M188" s="19">
        <f t="shared" si="13"/>
        <v>0</v>
      </c>
      <c r="N188" s="19">
        <f t="shared" si="14"/>
        <v>0</v>
      </c>
      <c r="O188" s="19">
        <f t="shared" si="16"/>
        <v>0</v>
      </c>
      <c r="P188" s="46"/>
      <c r="Q188" s="45" t="s">
        <v>239</v>
      </c>
    </row>
    <row r="189" spans="1:17">
      <c r="A189" s="155" t="s">
        <v>240</v>
      </c>
      <c r="B189" s="243">
        <v>0</v>
      </c>
      <c r="C189" s="60">
        <v>2500</v>
      </c>
      <c r="D189" s="43">
        <v>900</v>
      </c>
      <c r="E189" s="99">
        <v>2284</v>
      </c>
      <c r="F189" s="58"/>
      <c r="G189" s="58">
        <v>100</v>
      </c>
      <c r="H189" s="58"/>
      <c r="I189" s="58" t="s">
        <v>389</v>
      </c>
      <c r="J189" s="58"/>
      <c r="K189" s="51">
        <v>1300</v>
      </c>
      <c r="L189" s="19">
        <f t="shared" si="12"/>
        <v>0</v>
      </c>
      <c r="M189" s="19">
        <f t="shared" si="13"/>
        <v>0</v>
      </c>
      <c r="N189" s="19">
        <f t="shared" si="14"/>
        <v>0</v>
      </c>
      <c r="O189" s="19">
        <f t="shared" si="16"/>
        <v>0</v>
      </c>
      <c r="P189" s="46"/>
      <c r="Q189" s="45"/>
    </row>
    <row r="190" spans="1:17">
      <c r="A190" s="155" t="s">
        <v>241</v>
      </c>
      <c r="B190" s="243">
        <v>0</v>
      </c>
      <c r="C190" s="60">
        <v>1600</v>
      </c>
      <c r="D190" s="58">
        <v>1088</v>
      </c>
      <c r="E190" s="99">
        <v>2088</v>
      </c>
      <c r="F190" s="58"/>
      <c r="G190" s="58">
        <v>100</v>
      </c>
      <c r="H190" s="58"/>
      <c r="I190" s="58" t="s">
        <v>389</v>
      </c>
      <c r="J190" s="58"/>
      <c r="K190" s="51">
        <v>1300</v>
      </c>
      <c r="L190" s="19">
        <f t="shared" si="12"/>
        <v>0</v>
      </c>
      <c r="M190" s="19">
        <f t="shared" si="13"/>
        <v>0</v>
      </c>
      <c r="N190" s="19">
        <f t="shared" si="14"/>
        <v>0</v>
      </c>
      <c r="O190" s="19">
        <f t="shared" si="16"/>
        <v>0</v>
      </c>
      <c r="P190" s="46"/>
      <c r="Q190" s="45"/>
    </row>
    <row r="191" spans="1:17">
      <c r="A191" s="156" t="s">
        <v>242</v>
      </c>
      <c r="B191" s="243">
        <v>0</v>
      </c>
      <c r="C191" s="78">
        <v>800</v>
      </c>
      <c r="D191" s="58">
        <v>1800</v>
      </c>
      <c r="E191" s="99">
        <v>5000</v>
      </c>
      <c r="F191" s="58">
        <v>240</v>
      </c>
      <c r="G191" s="58">
        <v>100</v>
      </c>
      <c r="H191" s="58"/>
      <c r="I191" s="58" t="s">
        <v>389</v>
      </c>
      <c r="J191" s="58"/>
      <c r="K191" s="51">
        <v>1300</v>
      </c>
      <c r="L191" s="19">
        <f t="shared" si="12"/>
        <v>0</v>
      </c>
      <c r="M191" s="19">
        <f t="shared" si="13"/>
        <v>0</v>
      </c>
      <c r="N191" s="19">
        <f t="shared" si="14"/>
        <v>0</v>
      </c>
      <c r="O191" s="19">
        <f t="shared" si="16"/>
        <v>0</v>
      </c>
      <c r="P191" s="46"/>
      <c r="Q191" s="45" t="s">
        <v>243</v>
      </c>
    </row>
    <row r="192" spans="1:17">
      <c r="A192" s="156" t="s">
        <v>244</v>
      </c>
      <c r="B192" s="243">
        <v>0</v>
      </c>
      <c r="C192" s="60">
        <v>5500</v>
      </c>
      <c r="D192" s="58">
        <v>1200</v>
      </c>
      <c r="E192" s="99">
        <v>1263</v>
      </c>
      <c r="F192" s="58"/>
      <c r="G192" s="58">
        <v>100</v>
      </c>
      <c r="H192" s="58"/>
      <c r="I192" s="58" t="s">
        <v>389</v>
      </c>
      <c r="J192" s="58"/>
      <c r="K192" s="51">
        <v>1300</v>
      </c>
      <c r="L192" s="19">
        <f t="shared" si="12"/>
        <v>0</v>
      </c>
      <c r="M192" s="19">
        <f t="shared" si="13"/>
        <v>0</v>
      </c>
      <c r="N192" s="19">
        <f t="shared" si="14"/>
        <v>0</v>
      </c>
      <c r="O192" s="19">
        <f t="shared" si="16"/>
        <v>0</v>
      </c>
      <c r="P192" s="46"/>
      <c r="Q192" s="45"/>
    </row>
    <row r="193" spans="1:17" ht="15.75" thickBot="1">
      <c r="A193" s="157" t="s">
        <v>245</v>
      </c>
      <c r="B193" s="244">
        <v>0</v>
      </c>
      <c r="C193" s="61">
        <v>5000</v>
      </c>
      <c r="D193" s="57">
        <v>3400</v>
      </c>
      <c r="E193" s="100">
        <v>6525</v>
      </c>
      <c r="F193" s="57"/>
      <c r="G193" s="57">
        <v>100</v>
      </c>
      <c r="H193" s="57"/>
      <c r="I193" s="57" t="s">
        <v>389</v>
      </c>
      <c r="J193" s="57"/>
      <c r="K193" s="51">
        <v>1300</v>
      </c>
      <c r="L193" s="21">
        <f t="shared" si="12"/>
        <v>0</v>
      </c>
      <c r="M193" s="21">
        <f t="shared" si="13"/>
        <v>0</v>
      </c>
      <c r="N193" s="21">
        <f t="shared" si="14"/>
        <v>0</v>
      </c>
      <c r="O193" s="21">
        <f t="shared" si="16"/>
        <v>0</v>
      </c>
      <c r="P193" s="53"/>
      <c r="Q193" s="49"/>
    </row>
    <row r="194" spans="1:17">
      <c r="A194" s="152" t="s">
        <v>662</v>
      </c>
      <c r="B194" s="242">
        <v>0</v>
      </c>
      <c r="C194" s="166">
        <v>750</v>
      </c>
      <c r="D194" s="167">
        <v>800</v>
      </c>
      <c r="E194" s="168">
        <v>1050</v>
      </c>
      <c r="F194" s="166">
        <v>150</v>
      </c>
      <c r="G194" s="68">
        <v>40</v>
      </c>
      <c r="H194" s="68"/>
      <c r="I194" s="68" t="s">
        <v>389</v>
      </c>
      <c r="J194" s="167">
        <v>50</v>
      </c>
      <c r="K194" s="50">
        <v>1500</v>
      </c>
      <c r="L194" s="40">
        <f t="shared" ref="L194:N198" si="17">$B194*C194</f>
        <v>0</v>
      </c>
      <c r="M194" s="40">
        <f t="shared" si="17"/>
        <v>0</v>
      </c>
      <c r="N194" s="40">
        <f t="shared" si="17"/>
        <v>0</v>
      </c>
      <c r="O194" s="40">
        <f>$B194*K194</f>
        <v>0</v>
      </c>
      <c r="P194" s="46"/>
      <c r="Q194" s="45" t="s">
        <v>198</v>
      </c>
    </row>
    <row r="195" spans="1:17">
      <c r="A195" s="153" t="s">
        <v>584</v>
      </c>
      <c r="B195" s="243">
        <v>0</v>
      </c>
      <c r="C195" s="78">
        <v>1100</v>
      </c>
      <c r="D195" s="43">
        <v>1000</v>
      </c>
      <c r="E195" s="97">
        <v>1550</v>
      </c>
      <c r="F195" s="78">
        <v>700</v>
      </c>
      <c r="G195" s="58">
        <v>60</v>
      </c>
      <c r="H195" s="58"/>
      <c r="I195" s="58" t="s">
        <v>389</v>
      </c>
      <c r="J195" s="43">
        <v>50</v>
      </c>
      <c r="K195" s="51">
        <v>1500</v>
      </c>
      <c r="L195" s="19">
        <f t="shared" si="17"/>
        <v>0</v>
      </c>
      <c r="M195" s="19">
        <f t="shared" si="17"/>
        <v>0</v>
      </c>
      <c r="N195" s="19">
        <f t="shared" si="17"/>
        <v>0</v>
      </c>
      <c r="O195" s="19">
        <f>$B195*K195</f>
        <v>0</v>
      </c>
      <c r="P195" s="46"/>
      <c r="Q195" s="45" t="s">
        <v>332</v>
      </c>
    </row>
    <row r="196" spans="1:17">
      <c r="A196" s="155" t="s">
        <v>585</v>
      </c>
      <c r="B196" s="243">
        <v>0</v>
      </c>
      <c r="C196" s="78">
        <v>1650</v>
      </c>
      <c r="D196" s="43">
        <v>1300</v>
      </c>
      <c r="E196" s="97">
        <v>1950</v>
      </c>
      <c r="F196" s="78">
        <v>400</v>
      </c>
      <c r="G196" s="58">
        <v>60</v>
      </c>
      <c r="H196" s="58"/>
      <c r="I196" s="58" t="s">
        <v>389</v>
      </c>
      <c r="J196" s="43">
        <v>50</v>
      </c>
      <c r="K196" s="51">
        <v>1500</v>
      </c>
      <c r="L196" s="19">
        <f t="shared" si="17"/>
        <v>0</v>
      </c>
      <c r="M196" s="19">
        <f t="shared" si="17"/>
        <v>0</v>
      </c>
      <c r="N196" s="19">
        <f t="shared" si="17"/>
        <v>0</v>
      </c>
      <c r="O196" s="19">
        <f>$B196*K196</f>
        <v>0</v>
      </c>
      <c r="P196" s="46"/>
      <c r="Q196" s="45" t="s">
        <v>243</v>
      </c>
    </row>
    <row r="197" spans="1:17">
      <c r="A197" s="156" t="s">
        <v>586</v>
      </c>
      <c r="B197" s="243">
        <v>0</v>
      </c>
      <c r="C197" s="78">
        <v>6000</v>
      </c>
      <c r="D197" s="43">
        <v>3300</v>
      </c>
      <c r="E197" s="97">
        <v>5200</v>
      </c>
      <c r="F197" s="78"/>
      <c r="G197" s="58">
        <v>60</v>
      </c>
      <c r="H197" s="58"/>
      <c r="I197" s="58" t="s">
        <v>389</v>
      </c>
      <c r="J197" s="43">
        <v>50</v>
      </c>
      <c r="K197" s="51">
        <v>1500</v>
      </c>
      <c r="L197" s="19">
        <f t="shared" si="17"/>
        <v>0</v>
      </c>
      <c r="M197" s="19">
        <f t="shared" si="17"/>
        <v>0</v>
      </c>
      <c r="N197" s="19">
        <f t="shared" si="17"/>
        <v>0</v>
      </c>
      <c r="O197" s="19">
        <f>$B197*K197</f>
        <v>0</v>
      </c>
      <c r="P197" s="46"/>
      <c r="Q197" s="45"/>
    </row>
    <row r="198" spans="1:17" ht="15.75" thickBot="1">
      <c r="A198" s="157" t="s">
        <v>587</v>
      </c>
      <c r="B198" s="244">
        <v>0</v>
      </c>
      <c r="C198" s="79">
        <v>8500</v>
      </c>
      <c r="D198" s="47">
        <v>4600</v>
      </c>
      <c r="E198" s="98">
        <v>11000</v>
      </c>
      <c r="F198" s="79">
        <v>130</v>
      </c>
      <c r="G198" s="57">
        <v>60</v>
      </c>
      <c r="H198" s="57"/>
      <c r="I198" s="57" t="s">
        <v>389</v>
      </c>
      <c r="J198" s="47">
        <v>50</v>
      </c>
      <c r="K198" s="52">
        <v>1500</v>
      </c>
      <c r="L198" s="19">
        <f t="shared" si="17"/>
        <v>0</v>
      </c>
      <c r="M198" s="21">
        <f t="shared" si="17"/>
        <v>0</v>
      </c>
      <c r="N198" s="21">
        <f t="shared" si="17"/>
        <v>0</v>
      </c>
      <c r="O198" s="21">
        <f>$B198*K198</f>
        <v>0</v>
      </c>
      <c r="P198" s="46"/>
      <c r="Q198" s="45" t="s">
        <v>588</v>
      </c>
    </row>
    <row r="199" spans="1:17">
      <c r="A199" s="170" t="s">
        <v>663</v>
      </c>
      <c r="B199" s="243">
        <v>0</v>
      </c>
      <c r="C199" s="77">
        <v>1000</v>
      </c>
      <c r="D199" s="13">
        <v>980</v>
      </c>
      <c r="E199" s="51">
        <v>950</v>
      </c>
      <c r="F199" s="13"/>
      <c r="G199" s="58">
        <v>50</v>
      </c>
      <c r="H199" s="58">
        <v>60</v>
      </c>
      <c r="I199" s="58" t="s">
        <v>390</v>
      </c>
      <c r="J199" s="13">
        <v>200</v>
      </c>
      <c r="K199" s="51">
        <v>2000</v>
      </c>
      <c r="L199" s="40">
        <f t="shared" si="12"/>
        <v>0</v>
      </c>
      <c r="M199" s="40">
        <f t="shared" si="13"/>
        <v>0</v>
      </c>
      <c r="N199" s="40">
        <f t="shared" si="14"/>
        <v>0</v>
      </c>
      <c r="O199" s="40">
        <f t="shared" ref="O199:O234" si="18">$B199*K199</f>
        <v>0</v>
      </c>
      <c r="P199" s="36"/>
      <c r="Q199" s="42"/>
    </row>
    <row r="200" spans="1:17">
      <c r="A200" s="153" t="s">
        <v>246</v>
      </c>
      <c r="B200" s="243">
        <v>0</v>
      </c>
      <c r="C200" s="60">
        <v>1300</v>
      </c>
      <c r="D200" s="58">
        <v>1180</v>
      </c>
      <c r="E200" s="99">
        <v>1150</v>
      </c>
      <c r="F200" s="58"/>
      <c r="G200" s="58">
        <v>100</v>
      </c>
      <c r="H200" s="58"/>
      <c r="I200" s="58" t="s">
        <v>384</v>
      </c>
      <c r="J200" s="58">
        <v>200</v>
      </c>
      <c r="K200" s="51">
        <v>2000</v>
      </c>
      <c r="L200" s="19">
        <f t="shared" si="12"/>
        <v>0</v>
      </c>
      <c r="M200" s="19">
        <f t="shared" si="13"/>
        <v>0</v>
      </c>
      <c r="N200" s="19">
        <f t="shared" si="14"/>
        <v>0</v>
      </c>
      <c r="O200" s="19">
        <f t="shared" si="18"/>
        <v>0</v>
      </c>
      <c r="P200" s="46"/>
      <c r="Q200" s="45"/>
    </row>
    <row r="201" spans="1:17">
      <c r="A201" s="155" t="s">
        <v>247</v>
      </c>
      <c r="B201" s="243">
        <v>0</v>
      </c>
      <c r="C201" s="60">
        <v>1750</v>
      </c>
      <c r="D201" s="58">
        <v>1750</v>
      </c>
      <c r="E201" s="99">
        <v>1550</v>
      </c>
      <c r="F201" s="58"/>
      <c r="G201" s="58">
        <v>100</v>
      </c>
      <c r="H201" s="58"/>
      <c r="I201" s="58" t="s">
        <v>384</v>
      </c>
      <c r="J201" s="58"/>
      <c r="K201" s="51">
        <v>2000</v>
      </c>
      <c r="L201" s="19">
        <f t="shared" si="12"/>
        <v>0</v>
      </c>
      <c r="M201" s="19">
        <f t="shared" si="13"/>
        <v>0</v>
      </c>
      <c r="N201" s="19">
        <f t="shared" si="14"/>
        <v>0</v>
      </c>
      <c r="O201" s="19">
        <f t="shared" si="18"/>
        <v>0</v>
      </c>
      <c r="P201" s="46"/>
      <c r="Q201" s="45"/>
    </row>
    <row r="202" spans="1:17">
      <c r="A202" s="155" t="s">
        <v>248</v>
      </c>
      <c r="B202" s="243">
        <v>0</v>
      </c>
      <c r="C202" s="60">
        <v>2000</v>
      </c>
      <c r="D202" s="58">
        <v>1580</v>
      </c>
      <c r="E202" s="99">
        <v>1550</v>
      </c>
      <c r="F202" s="58"/>
      <c r="G202" s="58">
        <v>100</v>
      </c>
      <c r="H202" s="58"/>
      <c r="I202" s="58" t="s">
        <v>384</v>
      </c>
      <c r="J202" s="58"/>
      <c r="K202" s="51">
        <v>2000</v>
      </c>
      <c r="L202" s="19">
        <f t="shared" si="12"/>
        <v>0</v>
      </c>
      <c r="M202" s="19">
        <f t="shared" si="13"/>
        <v>0</v>
      </c>
      <c r="N202" s="19">
        <f t="shared" si="14"/>
        <v>0</v>
      </c>
      <c r="O202" s="19">
        <f t="shared" si="18"/>
        <v>0</v>
      </c>
      <c r="P202" s="46"/>
      <c r="Q202" s="45"/>
    </row>
    <row r="203" spans="1:17" ht="15.75" thickBot="1">
      <c r="A203" s="156" t="s">
        <v>249</v>
      </c>
      <c r="B203" s="243">
        <v>0</v>
      </c>
      <c r="C203" s="60">
        <v>2700</v>
      </c>
      <c r="D203" s="58">
        <v>2080</v>
      </c>
      <c r="E203" s="99">
        <v>2550</v>
      </c>
      <c r="F203" s="58"/>
      <c r="G203" s="58">
        <v>100</v>
      </c>
      <c r="H203" s="58"/>
      <c r="I203" s="58" t="s">
        <v>387</v>
      </c>
      <c r="J203" s="58"/>
      <c r="K203" s="51">
        <v>2000</v>
      </c>
      <c r="L203" s="19">
        <f t="shared" si="12"/>
        <v>0</v>
      </c>
      <c r="M203" s="19">
        <f t="shared" si="13"/>
        <v>0</v>
      </c>
      <c r="N203" s="19">
        <f t="shared" si="14"/>
        <v>0</v>
      </c>
      <c r="O203" s="19">
        <f t="shared" si="18"/>
        <v>0</v>
      </c>
      <c r="P203" s="46"/>
      <c r="Q203" s="45"/>
    </row>
    <row r="204" spans="1:17">
      <c r="A204" s="152" t="s">
        <v>664</v>
      </c>
      <c r="B204" s="242">
        <v>0</v>
      </c>
      <c r="C204" s="37">
        <v>400</v>
      </c>
      <c r="D204" s="38">
        <v>400</v>
      </c>
      <c r="E204" s="50">
        <v>600</v>
      </c>
      <c r="F204" s="38"/>
      <c r="G204" s="68">
        <v>30</v>
      </c>
      <c r="H204" s="68"/>
      <c r="I204" s="68" t="s">
        <v>390</v>
      </c>
      <c r="J204" s="38">
        <v>1</v>
      </c>
      <c r="K204" s="50">
        <v>1500</v>
      </c>
      <c r="L204" s="40">
        <f t="shared" ref="L204:N207" si="19">$B204*C204</f>
        <v>0</v>
      </c>
      <c r="M204" s="40">
        <f t="shared" si="19"/>
        <v>0</v>
      </c>
      <c r="N204" s="40">
        <f t="shared" si="19"/>
        <v>0</v>
      </c>
      <c r="O204" s="40">
        <f>$B204*K204</f>
        <v>0</v>
      </c>
      <c r="P204" s="55"/>
      <c r="Q204" s="171"/>
    </row>
    <row r="205" spans="1:17">
      <c r="A205" s="170" t="s">
        <v>557</v>
      </c>
      <c r="B205" s="243">
        <v>0</v>
      </c>
      <c r="C205" s="60">
        <v>400</v>
      </c>
      <c r="D205" s="58">
        <v>400</v>
      </c>
      <c r="E205" s="99">
        <v>600</v>
      </c>
      <c r="F205" s="58"/>
      <c r="G205" s="58">
        <v>30</v>
      </c>
      <c r="H205" s="58"/>
      <c r="I205" s="58" t="s">
        <v>390</v>
      </c>
      <c r="J205" s="58">
        <v>1</v>
      </c>
      <c r="K205" s="51">
        <v>1500</v>
      </c>
      <c r="L205" s="19">
        <f t="shared" si="19"/>
        <v>0</v>
      </c>
      <c r="M205" s="19">
        <f t="shared" si="19"/>
        <v>0</v>
      </c>
      <c r="N205" s="19">
        <f t="shared" si="19"/>
        <v>0</v>
      </c>
      <c r="O205" s="19">
        <f>$B205*K205</f>
        <v>0</v>
      </c>
      <c r="P205" s="46"/>
      <c r="Q205" s="45"/>
    </row>
    <row r="206" spans="1:17">
      <c r="A206" s="170" t="s">
        <v>557</v>
      </c>
      <c r="B206" s="243">
        <v>0</v>
      </c>
      <c r="C206" s="60">
        <v>400</v>
      </c>
      <c r="D206" s="58">
        <v>400</v>
      </c>
      <c r="E206" s="99">
        <v>600</v>
      </c>
      <c r="F206" s="58"/>
      <c r="G206" s="58">
        <v>30</v>
      </c>
      <c r="H206" s="58"/>
      <c r="I206" s="58" t="s">
        <v>390</v>
      </c>
      <c r="J206" s="58">
        <v>1</v>
      </c>
      <c r="K206" s="51">
        <v>1500</v>
      </c>
      <c r="L206" s="19">
        <f t="shared" si="19"/>
        <v>0</v>
      </c>
      <c r="M206" s="19">
        <f t="shared" si="19"/>
        <v>0</v>
      </c>
      <c r="N206" s="19">
        <f t="shared" si="19"/>
        <v>0</v>
      </c>
      <c r="O206" s="19">
        <f>$B206*K206</f>
        <v>0</v>
      </c>
      <c r="P206" s="46"/>
      <c r="Q206" s="45"/>
    </row>
    <row r="207" spans="1:17" ht="15.75" thickBot="1">
      <c r="A207" s="172" t="s">
        <v>557</v>
      </c>
      <c r="B207" s="244">
        <v>0</v>
      </c>
      <c r="C207" s="61">
        <v>400</v>
      </c>
      <c r="D207" s="57">
        <v>400</v>
      </c>
      <c r="E207" s="100">
        <v>600</v>
      </c>
      <c r="F207" s="57"/>
      <c r="G207" s="57">
        <v>30</v>
      </c>
      <c r="H207" s="57"/>
      <c r="I207" s="57" t="s">
        <v>390</v>
      </c>
      <c r="J207" s="57">
        <v>1</v>
      </c>
      <c r="K207" s="52">
        <v>1500</v>
      </c>
      <c r="L207" s="19">
        <f t="shared" si="19"/>
        <v>0</v>
      </c>
      <c r="M207" s="19">
        <f t="shared" si="19"/>
        <v>0</v>
      </c>
      <c r="N207" s="19">
        <f t="shared" si="19"/>
        <v>0</v>
      </c>
      <c r="O207" s="19">
        <f>$B207*K207</f>
        <v>0</v>
      </c>
      <c r="P207" s="53"/>
      <c r="Q207" s="49"/>
    </row>
    <row r="208" spans="1:17">
      <c r="A208" s="152" t="s">
        <v>665</v>
      </c>
      <c r="B208" s="242">
        <v>0</v>
      </c>
      <c r="C208" s="37">
        <v>1400</v>
      </c>
      <c r="D208" s="38">
        <v>1500</v>
      </c>
      <c r="E208" s="50">
        <v>750</v>
      </c>
      <c r="F208" s="37"/>
      <c r="G208" s="68">
        <v>40</v>
      </c>
      <c r="H208" s="68">
        <v>80</v>
      </c>
      <c r="I208" s="68" t="s">
        <v>389</v>
      </c>
      <c r="J208" s="38">
        <v>55</v>
      </c>
      <c r="K208" s="50">
        <v>2000</v>
      </c>
      <c r="L208" s="40">
        <f t="shared" si="12"/>
        <v>0</v>
      </c>
      <c r="M208" s="40">
        <f t="shared" si="13"/>
        <v>0</v>
      </c>
      <c r="N208" s="40">
        <f t="shared" si="14"/>
        <v>0</v>
      </c>
      <c r="O208" s="40">
        <f t="shared" si="18"/>
        <v>0</v>
      </c>
      <c r="P208" s="36"/>
      <c r="Q208" s="42"/>
    </row>
    <row r="209" spans="1:17">
      <c r="A209" s="153" t="s">
        <v>250</v>
      </c>
      <c r="B209" s="243">
        <v>0</v>
      </c>
      <c r="C209" s="78">
        <v>850</v>
      </c>
      <c r="D209" s="58">
        <v>1275</v>
      </c>
      <c r="E209" s="99">
        <v>1238</v>
      </c>
      <c r="F209" s="60"/>
      <c r="G209" s="58">
        <v>90</v>
      </c>
      <c r="H209" s="58"/>
      <c r="I209" s="58" t="s">
        <v>389</v>
      </c>
      <c r="J209" s="58">
        <v>55</v>
      </c>
      <c r="K209" s="51">
        <v>2000</v>
      </c>
      <c r="L209" s="19">
        <f t="shared" si="12"/>
        <v>0</v>
      </c>
      <c r="M209" s="19">
        <f t="shared" si="13"/>
        <v>0</v>
      </c>
      <c r="N209" s="19">
        <f t="shared" si="14"/>
        <v>0</v>
      </c>
      <c r="O209" s="19">
        <f t="shared" si="18"/>
        <v>0</v>
      </c>
      <c r="P209" s="46"/>
      <c r="Q209" s="45"/>
    </row>
    <row r="210" spans="1:17">
      <c r="A210" s="153" t="s">
        <v>251</v>
      </c>
      <c r="B210" s="243">
        <v>0</v>
      </c>
      <c r="C210" s="78">
        <v>586</v>
      </c>
      <c r="D210" s="58">
        <v>1235</v>
      </c>
      <c r="E210" s="99">
        <v>1118</v>
      </c>
      <c r="F210" s="60"/>
      <c r="G210" s="58">
        <v>90</v>
      </c>
      <c r="H210" s="58"/>
      <c r="I210" s="58" t="s">
        <v>386</v>
      </c>
      <c r="J210" s="58"/>
      <c r="K210" s="51">
        <v>2000</v>
      </c>
      <c r="L210" s="19">
        <f t="shared" si="12"/>
        <v>0</v>
      </c>
      <c r="M210" s="19">
        <f t="shared" si="13"/>
        <v>0</v>
      </c>
      <c r="N210" s="19">
        <f t="shared" si="14"/>
        <v>0</v>
      </c>
      <c r="O210" s="19">
        <f t="shared" si="18"/>
        <v>0</v>
      </c>
      <c r="P210" s="46"/>
      <c r="Q210" s="45"/>
    </row>
    <row r="211" spans="1:17">
      <c r="A211" s="153" t="s">
        <v>252</v>
      </c>
      <c r="B211" s="243">
        <v>0</v>
      </c>
      <c r="C211" s="60">
        <v>1540</v>
      </c>
      <c r="D211" s="58">
        <v>1650</v>
      </c>
      <c r="E211" s="97">
        <v>825</v>
      </c>
      <c r="F211" s="78"/>
      <c r="G211" s="58">
        <v>90</v>
      </c>
      <c r="H211" s="58"/>
      <c r="I211" s="58" t="s">
        <v>389</v>
      </c>
      <c r="J211" s="43"/>
      <c r="K211" s="51">
        <v>2000</v>
      </c>
      <c r="L211" s="19">
        <f t="shared" si="12"/>
        <v>0</v>
      </c>
      <c r="M211" s="19">
        <f t="shared" si="13"/>
        <v>0</v>
      </c>
      <c r="N211" s="19">
        <f t="shared" si="14"/>
        <v>0</v>
      </c>
      <c r="O211" s="19">
        <f t="shared" si="18"/>
        <v>0</v>
      </c>
      <c r="P211" s="46"/>
      <c r="Q211" s="45"/>
    </row>
    <row r="212" spans="1:17">
      <c r="A212" s="153" t="s">
        <v>253</v>
      </c>
      <c r="B212" s="243">
        <v>0</v>
      </c>
      <c r="C212" s="60">
        <v>1750</v>
      </c>
      <c r="D212" s="58">
        <v>1875</v>
      </c>
      <c r="E212" s="97">
        <v>938</v>
      </c>
      <c r="F212" s="78"/>
      <c r="G212" s="58">
        <v>90</v>
      </c>
      <c r="H212" s="58"/>
      <c r="I212" s="58" t="s">
        <v>389</v>
      </c>
      <c r="J212" s="43"/>
      <c r="K212" s="51">
        <v>2000</v>
      </c>
      <c r="L212" s="19">
        <f t="shared" si="12"/>
        <v>0</v>
      </c>
      <c r="M212" s="19">
        <f t="shared" si="13"/>
        <v>0</v>
      </c>
      <c r="N212" s="19">
        <f t="shared" si="14"/>
        <v>0</v>
      </c>
      <c r="O212" s="19">
        <f t="shared" si="18"/>
        <v>0</v>
      </c>
      <c r="P212" s="46"/>
      <c r="Q212" s="45"/>
    </row>
    <row r="213" spans="1:17">
      <c r="A213" s="153" t="s">
        <v>254</v>
      </c>
      <c r="B213" s="243">
        <v>0</v>
      </c>
      <c r="C213" s="60">
        <v>1700</v>
      </c>
      <c r="D213" s="58">
        <v>1800</v>
      </c>
      <c r="E213" s="99">
        <v>1000</v>
      </c>
      <c r="F213" s="60"/>
      <c r="G213" s="58">
        <v>90</v>
      </c>
      <c r="H213" s="58"/>
      <c r="I213" s="58" t="s">
        <v>389</v>
      </c>
      <c r="J213" s="58"/>
      <c r="K213" s="51">
        <v>2000</v>
      </c>
      <c r="L213" s="19">
        <f t="shared" si="12"/>
        <v>0</v>
      </c>
      <c r="M213" s="19">
        <f t="shared" si="13"/>
        <v>0</v>
      </c>
      <c r="N213" s="19">
        <f t="shared" si="14"/>
        <v>0</v>
      </c>
      <c r="O213" s="19">
        <f t="shared" si="18"/>
        <v>0</v>
      </c>
      <c r="P213" s="46"/>
      <c r="Q213" s="45"/>
    </row>
    <row r="214" spans="1:17">
      <c r="A214" s="153" t="s">
        <v>255</v>
      </c>
      <c r="B214" s="243">
        <v>0</v>
      </c>
      <c r="C214" s="60">
        <v>1100</v>
      </c>
      <c r="D214" s="58">
        <v>2475</v>
      </c>
      <c r="E214" s="99">
        <v>1000</v>
      </c>
      <c r="F214" s="60"/>
      <c r="G214" s="58">
        <v>90</v>
      </c>
      <c r="H214" s="58"/>
      <c r="I214" s="58" t="s">
        <v>389</v>
      </c>
      <c r="J214" s="58"/>
      <c r="K214" s="51">
        <v>2000</v>
      </c>
      <c r="L214" s="19">
        <f t="shared" si="12"/>
        <v>0</v>
      </c>
      <c r="M214" s="19">
        <f t="shared" si="13"/>
        <v>0</v>
      </c>
      <c r="N214" s="19">
        <f t="shared" si="14"/>
        <v>0</v>
      </c>
      <c r="O214" s="19">
        <f t="shared" si="18"/>
        <v>0</v>
      </c>
      <c r="P214" s="46"/>
      <c r="Q214" s="45"/>
    </row>
    <row r="215" spans="1:17">
      <c r="A215" s="155" t="s">
        <v>256</v>
      </c>
      <c r="B215" s="243">
        <v>0</v>
      </c>
      <c r="C215" s="60">
        <v>2450</v>
      </c>
      <c r="D215" s="58">
        <v>2625</v>
      </c>
      <c r="E215" s="99">
        <v>1313</v>
      </c>
      <c r="F215" s="60">
        <v>272</v>
      </c>
      <c r="G215" s="58">
        <v>90</v>
      </c>
      <c r="H215" s="58"/>
      <c r="I215" s="58" t="s">
        <v>389</v>
      </c>
      <c r="J215" s="58"/>
      <c r="K215" s="51">
        <v>2000</v>
      </c>
      <c r="L215" s="19">
        <f t="shared" si="12"/>
        <v>0</v>
      </c>
      <c r="M215" s="19">
        <f t="shared" si="13"/>
        <v>0</v>
      </c>
      <c r="N215" s="19">
        <f t="shared" si="14"/>
        <v>0</v>
      </c>
      <c r="O215" s="19">
        <f t="shared" si="18"/>
        <v>0</v>
      </c>
      <c r="P215" s="46"/>
      <c r="Q215" s="45" t="s">
        <v>198</v>
      </c>
    </row>
    <row r="216" spans="1:17">
      <c r="A216" s="155" t="s">
        <v>257</v>
      </c>
      <c r="B216" s="243">
        <v>0</v>
      </c>
      <c r="C216" s="60">
        <v>1372</v>
      </c>
      <c r="D216" s="58">
        <v>1470</v>
      </c>
      <c r="E216" s="97">
        <v>735</v>
      </c>
      <c r="F216" s="78">
        <v>405</v>
      </c>
      <c r="G216" s="58">
        <v>90</v>
      </c>
      <c r="H216" s="58"/>
      <c r="I216" s="58" t="s">
        <v>386</v>
      </c>
      <c r="J216" s="43"/>
      <c r="K216" s="51">
        <v>2000</v>
      </c>
      <c r="L216" s="19">
        <f t="shared" si="12"/>
        <v>0</v>
      </c>
      <c r="M216" s="19">
        <f t="shared" si="13"/>
        <v>0</v>
      </c>
      <c r="N216" s="19">
        <f t="shared" si="14"/>
        <v>0</v>
      </c>
      <c r="O216" s="19">
        <f t="shared" si="18"/>
        <v>0</v>
      </c>
      <c r="P216" s="46" t="s">
        <v>76</v>
      </c>
      <c r="Q216" s="45" t="s">
        <v>258</v>
      </c>
    </row>
    <row r="217" spans="1:17">
      <c r="A217" s="155" t="s">
        <v>259</v>
      </c>
      <c r="B217" s="243">
        <v>0</v>
      </c>
      <c r="C217" s="60">
        <v>2800</v>
      </c>
      <c r="D217" s="58">
        <v>3000</v>
      </c>
      <c r="E217" s="99">
        <v>1500</v>
      </c>
      <c r="F217" s="60"/>
      <c r="G217" s="58">
        <v>90</v>
      </c>
      <c r="H217" s="58"/>
      <c r="I217" s="58" t="s">
        <v>389</v>
      </c>
      <c r="J217" s="58"/>
      <c r="K217" s="51">
        <v>2000</v>
      </c>
      <c r="L217" s="19">
        <f t="shared" si="12"/>
        <v>0</v>
      </c>
      <c r="M217" s="19">
        <f t="shared" si="13"/>
        <v>0</v>
      </c>
      <c r="N217" s="19">
        <f t="shared" si="14"/>
        <v>0</v>
      </c>
      <c r="O217" s="19">
        <f t="shared" si="18"/>
        <v>0</v>
      </c>
      <c r="P217" s="46"/>
      <c r="Q217" s="45"/>
    </row>
    <row r="218" spans="1:17">
      <c r="A218" s="155" t="s">
        <v>260</v>
      </c>
      <c r="B218" s="243">
        <v>0</v>
      </c>
      <c r="C218" s="78">
        <v>400</v>
      </c>
      <c r="D218" s="58">
        <v>1500</v>
      </c>
      <c r="E218" s="99">
        <v>3000</v>
      </c>
      <c r="F218" s="60"/>
      <c r="G218" s="58">
        <v>90</v>
      </c>
      <c r="H218" s="58"/>
      <c r="I218" s="58" t="s">
        <v>390</v>
      </c>
      <c r="J218" s="58"/>
      <c r="K218" s="51">
        <v>2000</v>
      </c>
      <c r="L218" s="19">
        <f t="shared" si="12"/>
        <v>0</v>
      </c>
      <c r="M218" s="19">
        <f t="shared" si="13"/>
        <v>0</v>
      </c>
      <c r="N218" s="19">
        <f t="shared" si="14"/>
        <v>0</v>
      </c>
      <c r="O218" s="19">
        <f t="shared" si="18"/>
        <v>0</v>
      </c>
      <c r="P218" s="46"/>
      <c r="Q218" s="45"/>
    </row>
    <row r="219" spans="1:17">
      <c r="A219" s="156" t="s">
        <v>261</v>
      </c>
      <c r="B219" s="243">
        <v>0</v>
      </c>
      <c r="C219" s="60">
        <v>3500</v>
      </c>
      <c r="D219" s="58">
        <v>3750</v>
      </c>
      <c r="E219" s="99">
        <v>1875</v>
      </c>
      <c r="F219" s="60"/>
      <c r="G219" s="58">
        <v>90</v>
      </c>
      <c r="H219" s="58"/>
      <c r="I219" s="58" t="s">
        <v>386</v>
      </c>
      <c r="J219" s="58"/>
      <c r="K219" s="51">
        <v>2000</v>
      </c>
      <c r="L219" s="19">
        <f t="shared" si="12"/>
        <v>0</v>
      </c>
      <c r="M219" s="19">
        <f t="shared" si="13"/>
        <v>0</v>
      </c>
      <c r="N219" s="19">
        <f t="shared" si="14"/>
        <v>0</v>
      </c>
      <c r="O219" s="19">
        <f t="shared" si="18"/>
        <v>0</v>
      </c>
      <c r="P219" s="46"/>
      <c r="Q219" s="45"/>
    </row>
    <row r="220" spans="1:17">
      <c r="A220" s="156" t="s">
        <v>262</v>
      </c>
      <c r="B220" s="243">
        <v>0</v>
      </c>
      <c r="C220" s="78">
        <v>100</v>
      </c>
      <c r="D220" s="58">
        <v>3250</v>
      </c>
      <c r="E220" s="99">
        <v>4000</v>
      </c>
      <c r="F220" s="60">
        <v>600</v>
      </c>
      <c r="G220" s="58">
        <v>90</v>
      </c>
      <c r="H220" s="58"/>
      <c r="I220" s="58" t="s">
        <v>389</v>
      </c>
      <c r="J220" s="58"/>
      <c r="K220" s="51">
        <v>2000</v>
      </c>
      <c r="L220" s="19">
        <f t="shared" si="12"/>
        <v>0</v>
      </c>
      <c r="M220" s="19">
        <f t="shared" si="13"/>
        <v>0</v>
      </c>
      <c r="N220" s="19">
        <f t="shared" si="14"/>
        <v>0</v>
      </c>
      <c r="O220" s="19">
        <f t="shared" si="18"/>
        <v>0</v>
      </c>
      <c r="P220" s="46" t="s">
        <v>76</v>
      </c>
      <c r="Q220" s="45" t="s">
        <v>263</v>
      </c>
    </row>
    <row r="221" spans="1:17" ht="15.75" thickBot="1">
      <c r="A221" s="157" t="s">
        <v>264</v>
      </c>
      <c r="B221" s="244">
        <v>0</v>
      </c>
      <c r="C221" s="61">
        <v>6300</v>
      </c>
      <c r="D221" s="57">
        <v>6750</v>
      </c>
      <c r="E221" s="100">
        <v>3375</v>
      </c>
      <c r="F221" s="61"/>
      <c r="G221" s="57">
        <v>90</v>
      </c>
      <c r="H221" s="57"/>
      <c r="I221" s="57" t="s">
        <v>389</v>
      </c>
      <c r="J221" s="57"/>
      <c r="K221" s="52">
        <v>2000</v>
      </c>
      <c r="L221" s="21">
        <f t="shared" si="12"/>
        <v>0</v>
      </c>
      <c r="M221" s="21">
        <f t="shared" si="13"/>
        <v>0</v>
      </c>
      <c r="N221" s="21">
        <f t="shared" si="14"/>
        <v>0</v>
      </c>
      <c r="O221" s="21">
        <f t="shared" si="18"/>
        <v>0</v>
      </c>
      <c r="P221" s="53" t="s">
        <v>79</v>
      </c>
      <c r="Q221" s="49"/>
    </row>
    <row r="222" spans="1:17">
      <c r="A222" s="152" t="s">
        <v>666</v>
      </c>
      <c r="B222" s="256">
        <v>0</v>
      </c>
      <c r="C222" s="77">
        <v>200</v>
      </c>
      <c r="D222" s="13">
        <v>1000</v>
      </c>
      <c r="E222" s="51">
        <v>780</v>
      </c>
      <c r="F222" s="13">
        <v>36</v>
      </c>
      <c r="G222" s="58">
        <v>30</v>
      </c>
      <c r="H222" s="58">
        <v>50</v>
      </c>
      <c r="I222" s="58" t="s">
        <v>389</v>
      </c>
      <c r="J222" s="13">
        <v>65</v>
      </c>
      <c r="K222" s="51">
        <v>1300</v>
      </c>
      <c r="L222" s="40">
        <f t="shared" si="12"/>
        <v>0</v>
      </c>
      <c r="M222" s="40">
        <f t="shared" si="13"/>
        <v>0</v>
      </c>
      <c r="N222" s="40">
        <f t="shared" si="14"/>
        <v>0</v>
      </c>
      <c r="O222" s="40">
        <f t="shared" si="18"/>
        <v>0</v>
      </c>
      <c r="P222" s="36"/>
      <c r="Q222" s="42" t="s">
        <v>114</v>
      </c>
    </row>
    <row r="223" spans="1:17">
      <c r="A223" s="154" t="s">
        <v>265</v>
      </c>
      <c r="B223" s="257">
        <v>0</v>
      </c>
      <c r="C223" s="60">
        <v>1100</v>
      </c>
      <c r="D223" s="58">
        <v>1200</v>
      </c>
      <c r="E223" s="97">
        <v>950</v>
      </c>
      <c r="F223" s="43"/>
      <c r="G223" s="58">
        <v>95</v>
      </c>
      <c r="H223" s="58"/>
      <c r="I223" s="58" t="s">
        <v>389</v>
      </c>
      <c r="J223" s="43">
        <v>65</v>
      </c>
      <c r="K223" s="51">
        <v>1300</v>
      </c>
      <c r="L223" s="19">
        <f t="shared" si="12"/>
        <v>0</v>
      </c>
      <c r="M223" s="19">
        <f t="shared" si="13"/>
        <v>0</v>
      </c>
      <c r="N223" s="19">
        <f t="shared" si="14"/>
        <v>0</v>
      </c>
      <c r="O223" s="19">
        <f t="shared" si="18"/>
        <v>0</v>
      </c>
      <c r="P223" s="46"/>
      <c r="Q223" s="45"/>
    </row>
    <row r="224" spans="1:17">
      <c r="A224" s="154" t="s">
        <v>266</v>
      </c>
      <c r="B224" s="257">
        <v>0</v>
      </c>
      <c r="C224" s="78">
        <v>800</v>
      </c>
      <c r="D224" s="58">
        <v>1000</v>
      </c>
      <c r="E224" s="99">
        <v>1000</v>
      </c>
      <c r="F224" s="58">
        <v>360</v>
      </c>
      <c r="G224" s="58">
        <v>95</v>
      </c>
      <c r="H224" s="58"/>
      <c r="I224" s="58" t="s">
        <v>387</v>
      </c>
      <c r="J224" s="58"/>
      <c r="K224" s="51">
        <v>1300</v>
      </c>
      <c r="L224" s="19">
        <f t="shared" si="12"/>
        <v>0</v>
      </c>
      <c r="M224" s="19">
        <f t="shared" si="13"/>
        <v>0</v>
      </c>
      <c r="N224" s="19">
        <f t="shared" si="14"/>
        <v>0</v>
      </c>
      <c r="O224" s="19">
        <f t="shared" si="18"/>
        <v>0</v>
      </c>
      <c r="P224" s="46"/>
      <c r="Q224" s="45" t="s">
        <v>239</v>
      </c>
    </row>
    <row r="225" spans="1:17">
      <c r="A225" s="154" t="s">
        <v>267</v>
      </c>
      <c r="B225" s="257">
        <v>0</v>
      </c>
      <c r="C225" s="60">
        <v>1000</v>
      </c>
      <c r="D225" s="58">
        <v>1100</v>
      </c>
      <c r="E225" s="99">
        <v>1200</v>
      </c>
      <c r="F225" s="58"/>
      <c r="G225" s="58">
        <v>95</v>
      </c>
      <c r="H225" s="58"/>
      <c r="I225" s="58" t="s">
        <v>389</v>
      </c>
      <c r="J225" s="58"/>
      <c r="K225" s="51">
        <v>1300</v>
      </c>
      <c r="L225" s="19">
        <f t="shared" si="12"/>
        <v>0</v>
      </c>
      <c r="M225" s="19">
        <f t="shared" si="13"/>
        <v>0</v>
      </c>
      <c r="N225" s="19">
        <f t="shared" si="14"/>
        <v>0</v>
      </c>
      <c r="O225" s="19">
        <f t="shared" si="18"/>
        <v>0</v>
      </c>
      <c r="P225" s="46"/>
      <c r="Q225" s="45"/>
    </row>
    <row r="226" spans="1:17">
      <c r="A226" s="154" t="s">
        <v>268</v>
      </c>
      <c r="B226" s="257">
        <v>0</v>
      </c>
      <c r="C226" s="60">
        <v>1200</v>
      </c>
      <c r="D226" s="58">
        <v>1200</v>
      </c>
      <c r="E226" s="99">
        <v>1000</v>
      </c>
      <c r="F226" s="58"/>
      <c r="G226" s="58">
        <v>95</v>
      </c>
      <c r="H226" s="58"/>
      <c r="I226" s="58" t="s">
        <v>389</v>
      </c>
      <c r="J226" s="58"/>
      <c r="K226" s="51">
        <v>1300</v>
      </c>
      <c r="L226" s="19">
        <f t="shared" si="12"/>
        <v>0</v>
      </c>
      <c r="M226" s="19">
        <f t="shared" si="13"/>
        <v>0</v>
      </c>
      <c r="N226" s="19">
        <f t="shared" si="14"/>
        <v>0</v>
      </c>
      <c r="O226" s="19">
        <f t="shared" si="18"/>
        <v>0</v>
      </c>
      <c r="P226" s="46"/>
      <c r="Q226" s="45"/>
    </row>
    <row r="227" spans="1:17">
      <c r="A227" s="154" t="s">
        <v>269</v>
      </c>
      <c r="B227" s="257">
        <v>0</v>
      </c>
      <c r="C227" s="60">
        <v>1100</v>
      </c>
      <c r="D227" s="58">
        <v>1200</v>
      </c>
      <c r="E227" s="99">
        <v>1200</v>
      </c>
      <c r="F227" s="58"/>
      <c r="G227" s="58">
        <v>95</v>
      </c>
      <c r="H227" s="58"/>
      <c r="I227" s="58" t="s">
        <v>389</v>
      </c>
      <c r="J227" s="58"/>
      <c r="K227" s="51">
        <v>1300</v>
      </c>
      <c r="L227" s="19">
        <f t="shared" si="12"/>
        <v>0</v>
      </c>
      <c r="M227" s="19">
        <f t="shared" si="13"/>
        <v>0</v>
      </c>
      <c r="N227" s="19">
        <f t="shared" si="14"/>
        <v>0</v>
      </c>
      <c r="O227" s="19">
        <f t="shared" si="18"/>
        <v>0</v>
      </c>
      <c r="P227" s="46"/>
      <c r="Q227" s="45"/>
    </row>
    <row r="228" spans="1:17">
      <c r="A228" s="154" t="s">
        <v>270</v>
      </c>
      <c r="B228" s="257">
        <v>0</v>
      </c>
      <c r="C228" s="60">
        <v>1100</v>
      </c>
      <c r="D228" s="58">
        <v>1000</v>
      </c>
      <c r="E228" s="99">
        <v>1200</v>
      </c>
      <c r="F228" s="58"/>
      <c r="G228" s="58">
        <v>95</v>
      </c>
      <c r="H228" s="58"/>
      <c r="I228" s="58" t="s">
        <v>391</v>
      </c>
      <c r="J228" s="58"/>
      <c r="K228" s="51">
        <v>1300</v>
      </c>
      <c r="L228" s="19">
        <f t="shared" si="12"/>
        <v>0</v>
      </c>
      <c r="M228" s="19">
        <f t="shared" si="13"/>
        <v>0</v>
      </c>
      <c r="N228" s="19">
        <f t="shared" si="14"/>
        <v>0</v>
      </c>
      <c r="O228" s="19">
        <f t="shared" si="18"/>
        <v>0</v>
      </c>
      <c r="P228" s="46"/>
      <c r="Q228" s="45"/>
    </row>
    <row r="229" spans="1:17">
      <c r="A229" s="158" t="s">
        <v>271</v>
      </c>
      <c r="B229" s="257">
        <v>0</v>
      </c>
      <c r="C229" s="60">
        <v>1800</v>
      </c>
      <c r="D229" s="58">
        <v>1700</v>
      </c>
      <c r="E229" s="99">
        <v>1250</v>
      </c>
      <c r="F229" s="58"/>
      <c r="G229" s="58">
        <v>95</v>
      </c>
      <c r="H229" s="58"/>
      <c r="I229" s="58" t="s">
        <v>389</v>
      </c>
      <c r="J229" s="58"/>
      <c r="K229" s="51">
        <v>1300</v>
      </c>
      <c r="L229" s="19">
        <f t="shared" si="12"/>
        <v>0</v>
      </c>
      <c r="M229" s="19">
        <f t="shared" si="13"/>
        <v>0</v>
      </c>
      <c r="N229" s="19">
        <f t="shared" si="14"/>
        <v>0</v>
      </c>
      <c r="O229" s="19">
        <f t="shared" si="18"/>
        <v>0</v>
      </c>
      <c r="P229" s="46"/>
      <c r="Q229" s="45"/>
    </row>
    <row r="230" spans="1:17">
      <c r="A230" s="158" t="s">
        <v>272</v>
      </c>
      <c r="B230" s="257">
        <v>0</v>
      </c>
      <c r="C230" s="60">
        <v>1000</v>
      </c>
      <c r="D230" s="58">
        <v>1200</v>
      </c>
      <c r="E230" s="99">
        <v>1500</v>
      </c>
      <c r="F230" s="58">
        <v>450</v>
      </c>
      <c r="G230" s="58">
        <v>95</v>
      </c>
      <c r="H230" s="58"/>
      <c r="I230" s="58" t="s">
        <v>389</v>
      </c>
      <c r="J230" s="58"/>
      <c r="K230" s="51">
        <v>1300</v>
      </c>
      <c r="L230" s="19">
        <f t="shared" ref="L230:L313" si="20">$B230*C230</f>
        <v>0</v>
      </c>
      <c r="M230" s="19">
        <f t="shared" ref="M230:M313" si="21">$B230*D230</f>
        <v>0</v>
      </c>
      <c r="N230" s="19">
        <f t="shared" ref="N230:N313" si="22">$B230*E230</f>
        <v>0</v>
      </c>
      <c r="O230" s="19">
        <f t="shared" si="18"/>
        <v>0</v>
      </c>
      <c r="P230" s="46"/>
      <c r="Q230" s="45" t="s">
        <v>239</v>
      </c>
    </row>
    <row r="231" spans="1:17">
      <c r="A231" s="158" t="s">
        <v>273</v>
      </c>
      <c r="B231" s="257">
        <v>0</v>
      </c>
      <c r="C231" s="60">
        <v>1600</v>
      </c>
      <c r="D231" s="58">
        <v>1700</v>
      </c>
      <c r="E231" s="99">
        <v>1400</v>
      </c>
      <c r="F231" s="58"/>
      <c r="G231" s="58">
        <v>95</v>
      </c>
      <c r="H231" s="58"/>
      <c r="I231" s="58" t="s">
        <v>389</v>
      </c>
      <c r="J231" s="58"/>
      <c r="K231" s="51">
        <v>1300</v>
      </c>
      <c r="L231" s="19">
        <f t="shared" si="20"/>
        <v>0</v>
      </c>
      <c r="M231" s="19">
        <f t="shared" si="21"/>
        <v>0</v>
      </c>
      <c r="N231" s="19">
        <f t="shared" si="22"/>
        <v>0</v>
      </c>
      <c r="O231" s="19">
        <f t="shared" si="18"/>
        <v>0</v>
      </c>
      <c r="P231" s="46"/>
      <c r="Q231" s="45"/>
    </row>
    <row r="232" spans="1:17">
      <c r="A232" s="158" t="s">
        <v>274</v>
      </c>
      <c r="B232" s="257">
        <v>0</v>
      </c>
      <c r="C232" s="60">
        <v>1500</v>
      </c>
      <c r="D232" s="58">
        <v>1700</v>
      </c>
      <c r="E232" s="99">
        <v>1500</v>
      </c>
      <c r="F232" s="58"/>
      <c r="G232" s="58">
        <v>95</v>
      </c>
      <c r="H232" s="58"/>
      <c r="I232" s="58" t="s">
        <v>389</v>
      </c>
      <c r="J232" s="58"/>
      <c r="K232" s="51">
        <v>1300</v>
      </c>
      <c r="L232" s="19">
        <f t="shared" si="20"/>
        <v>0</v>
      </c>
      <c r="M232" s="19">
        <f t="shared" si="21"/>
        <v>0</v>
      </c>
      <c r="N232" s="19">
        <f t="shared" si="22"/>
        <v>0</v>
      </c>
      <c r="O232" s="19">
        <f t="shared" si="18"/>
        <v>0</v>
      </c>
      <c r="P232" s="46"/>
      <c r="Q232" s="45"/>
    </row>
    <row r="233" spans="1:17">
      <c r="A233" s="159" t="s">
        <v>275</v>
      </c>
      <c r="B233" s="257">
        <v>0</v>
      </c>
      <c r="C233" s="60">
        <v>2250</v>
      </c>
      <c r="D233" s="58">
        <v>2000</v>
      </c>
      <c r="E233" s="99">
        <v>2500</v>
      </c>
      <c r="F233" s="58"/>
      <c r="G233" s="58">
        <v>95</v>
      </c>
      <c r="H233" s="58"/>
      <c r="I233" s="58" t="s">
        <v>389</v>
      </c>
      <c r="J233" s="58"/>
      <c r="K233" s="51">
        <v>1300</v>
      </c>
      <c r="L233" s="19">
        <f t="shared" si="20"/>
        <v>0</v>
      </c>
      <c r="M233" s="19">
        <f t="shared" si="21"/>
        <v>0</v>
      </c>
      <c r="N233" s="19">
        <f t="shared" si="22"/>
        <v>0</v>
      </c>
      <c r="O233" s="19">
        <f t="shared" si="18"/>
        <v>0</v>
      </c>
      <c r="P233" s="46"/>
      <c r="Q233" s="45"/>
    </row>
    <row r="234" spans="1:17">
      <c r="A234" s="159" t="s">
        <v>276</v>
      </c>
      <c r="B234" s="257">
        <v>0</v>
      </c>
      <c r="C234" s="60">
        <v>2200</v>
      </c>
      <c r="D234" s="58">
        <v>2500</v>
      </c>
      <c r="E234" s="99">
        <v>2000</v>
      </c>
      <c r="F234" s="58"/>
      <c r="G234" s="58">
        <v>95</v>
      </c>
      <c r="H234" s="58"/>
      <c r="I234" s="58" t="s">
        <v>389</v>
      </c>
      <c r="J234" s="58"/>
      <c r="K234" s="51">
        <v>1300</v>
      </c>
      <c r="L234" s="19">
        <f t="shared" si="20"/>
        <v>0</v>
      </c>
      <c r="M234" s="19">
        <f t="shared" si="21"/>
        <v>0</v>
      </c>
      <c r="N234" s="19">
        <f t="shared" si="22"/>
        <v>0</v>
      </c>
      <c r="O234" s="19">
        <f t="shared" si="18"/>
        <v>0</v>
      </c>
      <c r="P234" s="46"/>
      <c r="Q234" s="45"/>
    </row>
    <row r="235" spans="1:17" ht="15.75" thickBot="1">
      <c r="A235" s="614" t="s">
        <v>277</v>
      </c>
      <c r="B235" s="258">
        <v>0</v>
      </c>
      <c r="C235" s="60">
        <v>4500</v>
      </c>
      <c r="D235" s="58">
        <v>5000</v>
      </c>
      <c r="E235" s="99">
        <v>4000</v>
      </c>
      <c r="F235" s="58"/>
      <c r="G235" s="58">
        <v>95</v>
      </c>
      <c r="H235" s="58"/>
      <c r="I235" s="58" t="s">
        <v>389</v>
      </c>
      <c r="J235" s="58"/>
      <c r="K235" s="51">
        <v>1300</v>
      </c>
      <c r="L235" s="21">
        <f t="shared" si="20"/>
        <v>0</v>
      </c>
      <c r="M235" s="21">
        <f t="shared" si="21"/>
        <v>0</v>
      </c>
      <c r="N235" s="21">
        <f t="shared" si="22"/>
        <v>0</v>
      </c>
      <c r="O235" s="21">
        <f t="shared" ref="O235:O263" si="23">$B235*K235</f>
        <v>0</v>
      </c>
      <c r="P235" s="53" t="s">
        <v>79</v>
      </c>
      <c r="Q235" s="49"/>
    </row>
    <row r="236" spans="1:17">
      <c r="A236" s="152" t="s">
        <v>667</v>
      </c>
      <c r="B236" s="242">
        <v>0</v>
      </c>
      <c r="C236" s="80">
        <v>3500</v>
      </c>
      <c r="D236" s="81">
        <v>3500</v>
      </c>
      <c r="E236" s="83">
        <v>5000</v>
      </c>
      <c r="F236" s="80"/>
      <c r="G236" s="85">
        <v>75</v>
      </c>
      <c r="H236" s="85">
        <v>150</v>
      </c>
      <c r="I236" s="85" t="s">
        <v>384</v>
      </c>
      <c r="J236" s="81">
        <v>150</v>
      </c>
      <c r="K236" s="83">
        <v>4000</v>
      </c>
      <c r="L236" s="40">
        <f t="shared" si="20"/>
        <v>0</v>
      </c>
      <c r="M236" s="40">
        <f t="shared" si="21"/>
        <v>0</v>
      </c>
      <c r="N236" s="40">
        <f t="shared" si="22"/>
        <v>0</v>
      </c>
      <c r="O236" s="40">
        <f t="shared" si="23"/>
        <v>0</v>
      </c>
      <c r="P236" s="36"/>
      <c r="Q236" s="42"/>
    </row>
    <row r="237" spans="1:17">
      <c r="A237" s="153" t="s">
        <v>278</v>
      </c>
      <c r="B237" s="243">
        <v>0</v>
      </c>
      <c r="C237" s="86">
        <v>2000</v>
      </c>
      <c r="D237" s="82">
        <v>6200</v>
      </c>
      <c r="E237" s="101">
        <v>7000</v>
      </c>
      <c r="F237" s="86"/>
      <c r="G237" s="58">
        <v>300</v>
      </c>
      <c r="H237" s="58"/>
      <c r="I237" s="58" t="s">
        <v>384</v>
      </c>
      <c r="J237" s="82">
        <v>150</v>
      </c>
      <c r="K237" s="51">
        <v>4000</v>
      </c>
      <c r="L237" s="19">
        <f t="shared" si="20"/>
        <v>0</v>
      </c>
      <c r="M237" s="19">
        <f t="shared" si="21"/>
        <v>0</v>
      </c>
      <c r="N237" s="19">
        <f t="shared" si="22"/>
        <v>0</v>
      </c>
      <c r="O237" s="19">
        <f t="shared" si="23"/>
        <v>0</v>
      </c>
      <c r="P237" s="46"/>
      <c r="Q237" s="45"/>
    </row>
    <row r="238" spans="1:17">
      <c r="A238" s="153" t="s">
        <v>279</v>
      </c>
      <c r="B238" s="243">
        <v>0</v>
      </c>
      <c r="C238" s="86">
        <v>4400</v>
      </c>
      <c r="D238" s="82">
        <v>4400</v>
      </c>
      <c r="E238" s="101">
        <v>6200</v>
      </c>
      <c r="F238" s="86"/>
      <c r="G238" s="58">
        <v>300</v>
      </c>
      <c r="H238" s="58"/>
      <c r="I238" s="58" t="s">
        <v>384</v>
      </c>
      <c r="J238" s="82"/>
      <c r="K238" s="51">
        <v>4000</v>
      </c>
      <c r="L238" s="19">
        <f t="shared" si="20"/>
        <v>0</v>
      </c>
      <c r="M238" s="19">
        <f t="shared" si="21"/>
        <v>0</v>
      </c>
      <c r="N238" s="19">
        <f t="shared" si="22"/>
        <v>0</v>
      </c>
      <c r="O238" s="19">
        <f t="shared" si="23"/>
        <v>0</v>
      </c>
      <c r="P238" s="46"/>
      <c r="Q238" s="45"/>
    </row>
    <row r="239" spans="1:17">
      <c r="A239" s="153" t="s">
        <v>280</v>
      </c>
      <c r="B239" s="243">
        <v>0</v>
      </c>
      <c r="C239" s="86">
        <v>6500</v>
      </c>
      <c r="D239" s="82">
        <v>3500</v>
      </c>
      <c r="E239" s="101">
        <v>4000</v>
      </c>
      <c r="F239" s="86"/>
      <c r="G239" s="58">
        <v>300</v>
      </c>
      <c r="H239" s="58"/>
      <c r="I239" s="58" t="s">
        <v>384</v>
      </c>
      <c r="J239" s="82"/>
      <c r="K239" s="51">
        <v>4000</v>
      </c>
      <c r="L239" s="19">
        <f t="shared" si="20"/>
        <v>0</v>
      </c>
      <c r="M239" s="19">
        <f t="shared" si="21"/>
        <v>0</v>
      </c>
      <c r="N239" s="19">
        <f t="shared" si="22"/>
        <v>0</v>
      </c>
      <c r="O239" s="19">
        <f t="shared" si="23"/>
        <v>0</v>
      </c>
      <c r="P239" s="46"/>
      <c r="Q239" s="45"/>
    </row>
    <row r="240" spans="1:17">
      <c r="A240" s="153" t="s">
        <v>281</v>
      </c>
      <c r="B240" s="243">
        <v>0</v>
      </c>
      <c r="C240" s="86">
        <v>4500</v>
      </c>
      <c r="D240" s="82">
        <v>4500</v>
      </c>
      <c r="E240" s="101">
        <v>6000</v>
      </c>
      <c r="F240" s="86"/>
      <c r="G240" s="58">
        <v>300</v>
      </c>
      <c r="H240" s="58"/>
      <c r="I240" s="58" t="s">
        <v>384</v>
      </c>
      <c r="J240" s="82"/>
      <c r="K240" s="51">
        <v>4000</v>
      </c>
      <c r="L240" s="19">
        <f t="shared" si="20"/>
        <v>0</v>
      </c>
      <c r="M240" s="19">
        <f t="shared" si="21"/>
        <v>0</v>
      </c>
      <c r="N240" s="19">
        <f t="shared" si="22"/>
        <v>0</v>
      </c>
      <c r="O240" s="19">
        <f t="shared" si="23"/>
        <v>0</v>
      </c>
      <c r="P240" s="46"/>
      <c r="Q240" s="45"/>
    </row>
    <row r="241" spans="1:17">
      <c r="A241" s="153" t="s">
        <v>282</v>
      </c>
      <c r="B241" s="243">
        <v>0</v>
      </c>
      <c r="C241" s="86">
        <v>2500</v>
      </c>
      <c r="D241" s="82">
        <v>2500</v>
      </c>
      <c r="E241" s="101">
        <v>3000</v>
      </c>
      <c r="F241" s="86"/>
      <c r="G241" s="58">
        <v>300</v>
      </c>
      <c r="H241" s="58"/>
      <c r="I241" s="58" t="s">
        <v>384</v>
      </c>
      <c r="J241" s="82"/>
      <c r="K241" s="51">
        <v>4000</v>
      </c>
      <c r="L241" s="19">
        <f t="shared" si="20"/>
        <v>0</v>
      </c>
      <c r="M241" s="19">
        <f t="shared" si="21"/>
        <v>0</v>
      </c>
      <c r="N241" s="19">
        <f t="shared" si="22"/>
        <v>0</v>
      </c>
      <c r="O241" s="19">
        <f t="shared" si="23"/>
        <v>0</v>
      </c>
      <c r="P241" s="46"/>
      <c r="Q241" s="45"/>
    </row>
    <row r="242" spans="1:17">
      <c r="A242" s="155" t="s">
        <v>283</v>
      </c>
      <c r="B242" s="243">
        <v>0</v>
      </c>
      <c r="C242" s="86">
        <v>5500</v>
      </c>
      <c r="D242" s="82">
        <v>6500</v>
      </c>
      <c r="E242" s="101">
        <v>9000</v>
      </c>
      <c r="F242" s="86"/>
      <c r="G242" s="58">
        <v>300</v>
      </c>
      <c r="H242" s="58"/>
      <c r="I242" s="58" t="s">
        <v>384</v>
      </c>
      <c r="J242" s="82"/>
      <c r="K242" s="51">
        <v>4000</v>
      </c>
      <c r="L242" s="19">
        <f t="shared" si="20"/>
        <v>0</v>
      </c>
      <c r="M242" s="19">
        <f t="shared" si="21"/>
        <v>0</v>
      </c>
      <c r="N242" s="19">
        <f t="shared" si="22"/>
        <v>0</v>
      </c>
      <c r="O242" s="19">
        <f t="shared" si="23"/>
        <v>0</v>
      </c>
      <c r="P242" s="46"/>
      <c r="Q242" s="45"/>
    </row>
    <row r="243" spans="1:17">
      <c r="A243" s="155" t="s">
        <v>284</v>
      </c>
      <c r="B243" s="243">
        <v>0</v>
      </c>
      <c r="C243" s="86">
        <v>6000</v>
      </c>
      <c r="D243" s="82">
        <v>6000</v>
      </c>
      <c r="E243" s="101">
        <v>9000</v>
      </c>
      <c r="F243" s="86"/>
      <c r="G243" s="58">
        <v>300</v>
      </c>
      <c r="H243" s="58"/>
      <c r="I243" s="58" t="s">
        <v>384</v>
      </c>
      <c r="J243" s="82"/>
      <c r="K243" s="51">
        <v>4000</v>
      </c>
      <c r="L243" s="19">
        <f t="shared" si="20"/>
        <v>0</v>
      </c>
      <c r="M243" s="19">
        <f t="shared" si="21"/>
        <v>0</v>
      </c>
      <c r="N243" s="19">
        <f t="shared" si="22"/>
        <v>0</v>
      </c>
      <c r="O243" s="19">
        <f t="shared" si="23"/>
        <v>0</v>
      </c>
      <c r="P243" s="46"/>
      <c r="Q243" s="45"/>
    </row>
    <row r="244" spans="1:17">
      <c r="A244" s="155" t="s">
        <v>285</v>
      </c>
      <c r="B244" s="243">
        <v>0</v>
      </c>
      <c r="C244" s="86">
        <v>6000</v>
      </c>
      <c r="D244" s="82">
        <v>5500</v>
      </c>
      <c r="E244" s="101">
        <v>10000</v>
      </c>
      <c r="F244" s="86"/>
      <c r="G244" s="58">
        <v>300</v>
      </c>
      <c r="H244" s="58"/>
      <c r="I244" s="58" t="s">
        <v>384</v>
      </c>
      <c r="J244" s="82"/>
      <c r="K244" s="51">
        <v>4000</v>
      </c>
      <c r="L244" s="19">
        <f t="shared" si="20"/>
        <v>0</v>
      </c>
      <c r="M244" s="19">
        <f t="shared" si="21"/>
        <v>0</v>
      </c>
      <c r="N244" s="19">
        <f t="shared" si="22"/>
        <v>0</v>
      </c>
      <c r="O244" s="19">
        <f t="shared" si="23"/>
        <v>0</v>
      </c>
      <c r="P244" s="46"/>
      <c r="Q244" s="45"/>
    </row>
    <row r="245" spans="1:17">
      <c r="A245" s="155" t="s">
        <v>286</v>
      </c>
      <c r="B245" s="243">
        <v>0</v>
      </c>
      <c r="C245" s="86">
        <v>6500</v>
      </c>
      <c r="D245" s="82">
        <v>5000</v>
      </c>
      <c r="E245" s="101">
        <v>10000</v>
      </c>
      <c r="F245" s="86"/>
      <c r="G245" s="58">
        <v>300</v>
      </c>
      <c r="H245" s="58"/>
      <c r="I245" s="58" t="s">
        <v>384</v>
      </c>
      <c r="J245" s="82"/>
      <c r="K245" s="51">
        <v>4000</v>
      </c>
      <c r="L245" s="19">
        <f t="shared" si="20"/>
        <v>0</v>
      </c>
      <c r="M245" s="19">
        <f t="shared" si="21"/>
        <v>0</v>
      </c>
      <c r="N245" s="19">
        <f t="shared" si="22"/>
        <v>0</v>
      </c>
      <c r="O245" s="19">
        <f t="shared" si="23"/>
        <v>0</v>
      </c>
      <c r="P245" s="46"/>
      <c r="Q245" s="45"/>
    </row>
    <row r="246" spans="1:17">
      <c r="A246" s="156" t="s">
        <v>287</v>
      </c>
      <c r="B246" s="243">
        <v>0</v>
      </c>
      <c r="C246" s="86">
        <v>5000</v>
      </c>
      <c r="D246" s="82">
        <v>10000</v>
      </c>
      <c r="E246" s="101">
        <v>15000</v>
      </c>
      <c r="F246" s="86">
        <v>1960</v>
      </c>
      <c r="G246" s="58">
        <v>300</v>
      </c>
      <c r="H246" s="58"/>
      <c r="I246" s="58" t="s">
        <v>384</v>
      </c>
      <c r="J246" s="82"/>
      <c r="K246" s="51">
        <v>4000</v>
      </c>
      <c r="L246" s="19">
        <f t="shared" si="20"/>
        <v>0</v>
      </c>
      <c r="M246" s="19">
        <f t="shared" si="21"/>
        <v>0</v>
      </c>
      <c r="N246" s="19">
        <f t="shared" si="22"/>
        <v>0</v>
      </c>
      <c r="O246" s="19">
        <f t="shared" si="23"/>
        <v>0</v>
      </c>
      <c r="P246" s="46" t="s">
        <v>79</v>
      </c>
      <c r="Q246" s="45" t="s">
        <v>263</v>
      </c>
    </row>
    <row r="247" spans="1:17">
      <c r="A247" s="156" t="s">
        <v>288</v>
      </c>
      <c r="B247" s="243">
        <v>0</v>
      </c>
      <c r="C247" s="86">
        <v>9000</v>
      </c>
      <c r="D247" s="82">
        <v>9000</v>
      </c>
      <c r="E247" s="101">
        <v>12000</v>
      </c>
      <c r="F247" s="86"/>
      <c r="G247" s="58">
        <v>300</v>
      </c>
      <c r="H247" s="58"/>
      <c r="I247" s="58" t="s">
        <v>391</v>
      </c>
      <c r="J247" s="82"/>
      <c r="K247" s="51">
        <v>4000</v>
      </c>
      <c r="L247" s="19">
        <f t="shared" si="20"/>
        <v>0</v>
      </c>
      <c r="M247" s="19">
        <f t="shared" si="21"/>
        <v>0</v>
      </c>
      <c r="N247" s="19">
        <f t="shared" si="22"/>
        <v>0</v>
      </c>
      <c r="O247" s="19">
        <f t="shared" si="23"/>
        <v>0</v>
      </c>
      <c r="P247" s="46"/>
      <c r="Q247" s="45"/>
    </row>
    <row r="248" spans="1:17" ht="15.75" thickBot="1">
      <c r="A248" s="157" t="s">
        <v>289</v>
      </c>
      <c r="B248" s="244">
        <v>0</v>
      </c>
      <c r="C248" s="87">
        <v>18000</v>
      </c>
      <c r="D248" s="84">
        <v>17000</v>
      </c>
      <c r="E248" s="102">
        <v>25000</v>
      </c>
      <c r="F248" s="87"/>
      <c r="G248" s="84">
        <v>300</v>
      </c>
      <c r="H248" s="84"/>
      <c r="I248" s="84" t="s">
        <v>384</v>
      </c>
      <c r="J248" s="84"/>
      <c r="K248" s="52">
        <v>4000</v>
      </c>
      <c r="L248" s="21">
        <f t="shared" si="20"/>
        <v>0</v>
      </c>
      <c r="M248" s="21">
        <f t="shared" si="21"/>
        <v>0</v>
      </c>
      <c r="N248" s="21">
        <f t="shared" si="22"/>
        <v>0</v>
      </c>
      <c r="O248" s="21">
        <f t="shared" si="23"/>
        <v>0</v>
      </c>
      <c r="P248" s="53" t="s">
        <v>79</v>
      </c>
      <c r="Q248" s="49"/>
    </row>
    <row r="249" spans="1:17">
      <c r="A249" s="152" t="s">
        <v>668</v>
      </c>
      <c r="B249" s="242">
        <v>0</v>
      </c>
      <c r="C249" s="77">
        <v>4500</v>
      </c>
      <c r="D249" s="13">
        <v>3000</v>
      </c>
      <c r="E249" s="51">
        <v>3200</v>
      </c>
      <c r="F249" s="13"/>
      <c r="G249" s="58">
        <v>75</v>
      </c>
      <c r="H249" s="58">
        <v>150</v>
      </c>
      <c r="I249" s="58" t="s">
        <v>384</v>
      </c>
      <c r="J249" s="13">
        <v>50</v>
      </c>
      <c r="K249" s="51">
        <v>3600</v>
      </c>
      <c r="L249" s="40">
        <f t="shared" si="20"/>
        <v>0</v>
      </c>
      <c r="M249" s="40">
        <f t="shared" si="21"/>
        <v>0</v>
      </c>
      <c r="N249" s="40">
        <f t="shared" si="22"/>
        <v>0</v>
      </c>
      <c r="O249" s="40">
        <f t="shared" si="23"/>
        <v>0</v>
      </c>
      <c r="P249" s="36"/>
      <c r="Q249" s="42"/>
    </row>
    <row r="250" spans="1:17">
      <c r="A250" s="153" t="s">
        <v>290</v>
      </c>
      <c r="B250" s="243">
        <v>0</v>
      </c>
      <c r="C250" s="60">
        <v>5500</v>
      </c>
      <c r="D250" s="58">
        <v>4000</v>
      </c>
      <c r="E250" s="99">
        <v>4000</v>
      </c>
      <c r="F250" s="58"/>
      <c r="G250" s="58">
        <v>90</v>
      </c>
      <c r="H250" s="58"/>
      <c r="I250" s="58" t="s">
        <v>384</v>
      </c>
      <c r="J250" s="58">
        <v>50</v>
      </c>
      <c r="K250" s="51">
        <v>3600</v>
      </c>
      <c r="L250" s="19">
        <f t="shared" si="20"/>
        <v>0</v>
      </c>
      <c r="M250" s="19">
        <f t="shared" si="21"/>
        <v>0</v>
      </c>
      <c r="N250" s="19">
        <f t="shared" si="22"/>
        <v>0</v>
      </c>
      <c r="O250" s="19">
        <f t="shared" si="23"/>
        <v>0</v>
      </c>
      <c r="P250" s="46"/>
      <c r="Q250" s="26"/>
    </row>
    <row r="251" spans="1:17">
      <c r="A251" s="153" t="s">
        <v>727</v>
      </c>
      <c r="B251" s="243">
        <v>0</v>
      </c>
      <c r="C251" s="60">
        <v>5000</v>
      </c>
      <c r="D251" s="58">
        <v>4000</v>
      </c>
      <c r="E251" s="99">
        <v>4200</v>
      </c>
      <c r="F251" s="58"/>
      <c r="G251" s="58">
        <v>90</v>
      </c>
      <c r="H251" s="58"/>
      <c r="I251" s="58" t="s">
        <v>384</v>
      </c>
      <c r="J251" s="58"/>
      <c r="K251" s="51">
        <v>3600</v>
      </c>
      <c r="L251" s="19">
        <f t="shared" si="20"/>
        <v>0</v>
      </c>
      <c r="M251" s="19">
        <f t="shared" si="21"/>
        <v>0</v>
      </c>
      <c r="N251" s="19">
        <f t="shared" si="22"/>
        <v>0</v>
      </c>
      <c r="O251" s="19">
        <f t="shared" si="23"/>
        <v>0</v>
      </c>
      <c r="P251" s="46"/>
      <c r="Q251" s="26"/>
    </row>
    <row r="252" spans="1:17">
      <c r="A252" s="153" t="s">
        <v>291</v>
      </c>
      <c r="B252" s="243">
        <v>0</v>
      </c>
      <c r="C252" s="60">
        <v>4500</v>
      </c>
      <c r="D252" s="58">
        <v>3000</v>
      </c>
      <c r="E252" s="99">
        <v>5600</v>
      </c>
      <c r="F252" s="58"/>
      <c r="G252" s="58">
        <v>90</v>
      </c>
      <c r="H252" s="58"/>
      <c r="I252" s="58" t="s">
        <v>384</v>
      </c>
      <c r="J252" s="58"/>
      <c r="K252" s="51">
        <v>3600</v>
      </c>
      <c r="L252" s="19">
        <f t="shared" si="20"/>
        <v>0</v>
      </c>
      <c r="M252" s="19">
        <f t="shared" si="21"/>
        <v>0</v>
      </c>
      <c r="N252" s="19">
        <f t="shared" si="22"/>
        <v>0</v>
      </c>
      <c r="O252" s="19">
        <f t="shared" si="23"/>
        <v>0</v>
      </c>
      <c r="P252" s="46"/>
      <c r="Q252" s="26"/>
    </row>
    <row r="253" spans="1:17">
      <c r="A253" s="153" t="s">
        <v>292</v>
      </c>
      <c r="B253" s="243">
        <v>0</v>
      </c>
      <c r="C253" s="60">
        <v>3000</v>
      </c>
      <c r="D253" s="58">
        <v>3000</v>
      </c>
      <c r="E253" s="99">
        <v>3000</v>
      </c>
      <c r="F253" s="58"/>
      <c r="G253" s="58">
        <v>90</v>
      </c>
      <c r="H253" s="58"/>
      <c r="I253" s="58" t="s">
        <v>384</v>
      </c>
      <c r="J253" s="58"/>
      <c r="K253" s="51">
        <v>3600</v>
      </c>
      <c r="L253" s="19">
        <f t="shared" si="20"/>
        <v>0</v>
      </c>
      <c r="M253" s="19">
        <f t="shared" si="21"/>
        <v>0</v>
      </c>
      <c r="N253" s="19">
        <f t="shared" si="22"/>
        <v>0</v>
      </c>
      <c r="O253" s="19">
        <f t="shared" si="23"/>
        <v>0</v>
      </c>
      <c r="P253" s="46"/>
      <c r="Q253" s="26"/>
    </row>
    <row r="254" spans="1:17">
      <c r="A254" s="153" t="s">
        <v>293</v>
      </c>
      <c r="B254" s="243">
        <v>0</v>
      </c>
      <c r="C254" s="60">
        <v>4000</v>
      </c>
      <c r="D254" s="58">
        <v>4000</v>
      </c>
      <c r="E254" s="99">
        <v>5000</v>
      </c>
      <c r="F254" s="58"/>
      <c r="G254" s="58">
        <v>90</v>
      </c>
      <c r="H254" s="58"/>
      <c r="I254" s="58" t="s">
        <v>384</v>
      </c>
      <c r="J254" s="58"/>
      <c r="K254" s="51">
        <v>3600</v>
      </c>
      <c r="L254" s="19">
        <f t="shared" si="20"/>
        <v>0</v>
      </c>
      <c r="M254" s="19">
        <f t="shared" si="21"/>
        <v>0</v>
      </c>
      <c r="N254" s="19">
        <f t="shared" si="22"/>
        <v>0</v>
      </c>
      <c r="O254" s="19">
        <f t="shared" si="23"/>
        <v>0</v>
      </c>
      <c r="P254" s="46"/>
      <c r="Q254" s="26"/>
    </row>
    <row r="255" spans="1:17">
      <c r="A255" s="153" t="s">
        <v>294</v>
      </c>
      <c r="B255" s="243">
        <v>0</v>
      </c>
      <c r="C255" s="60">
        <v>6700</v>
      </c>
      <c r="D255" s="58">
        <v>3500</v>
      </c>
      <c r="E255" s="99">
        <v>3500</v>
      </c>
      <c r="F255" s="58"/>
      <c r="G255" s="58">
        <v>90</v>
      </c>
      <c r="H255" s="58"/>
      <c r="I255" s="58" t="s">
        <v>384</v>
      </c>
      <c r="J255" s="58"/>
      <c r="K255" s="51">
        <v>3600</v>
      </c>
      <c r="L255" s="19">
        <f t="shared" si="20"/>
        <v>0</v>
      </c>
      <c r="M255" s="19">
        <f t="shared" si="21"/>
        <v>0</v>
      </c>
      <c r="N255" s="19">
        <f t="shared" si="22"/>
        <v>0</v>
      </c>
      <c r="O255" s="19">
        <f t="shared" si="23"/>
        <v>0</v>
      </c>
      <c r="P255" s="46"/>
      <c r="Q255" s="26"/>
    </row>
    <row r="256" spans="1:17">
      <c r="A256" s="155" t="s">
        <v>295</v>
      </c>
      <c r="B256" s="243">
        <v>0</v>
      </c>
      <c r="C256" s="60">
        <v>8000</v>
      </c>
      <c r="D256" s="58">
        <v>5000</v>
      </c>
      <c r="E256" s="99">
        <v>6000</v>
      </c>
      <c r="F256" s="58"/>
      <c r="G256" s="58">
        <v>90</v>
      </c>
      <c r="H256" s="58"/>
      <c r="I256" s="58" t="s">
        <v>384</v>
      </c>
      <c r="J256" s="58"/>
      <c r="K256" s="51">
        <v>3600</v>
      </c>
      <c r="L256" s="19">
        <f t="shared" si="20"/>
        <v>0</v>
      </c>
      <c r="M256" s="19">
        <f t="shared" si="21"/>
        <v>0</v>
      </c>
      <c r="N256" s="19">
        <f t="shared" si="22"/>
        <v>0</v>
      </c>
      <c r="O256" s="19">
        <f t="shared" si="23"/>
        <v>0</v>
      </c>
      <c r="P256" s="46"/>
      <c r="Q256" s="26"/>
    </row>
    <row r="257" spans="1:17">
      <c r="A257" s="155" t="s">
        <v>296</v>
      </c>
      <c r="B257" s="243">
        <v>0</v>
      </c>
      <c r="C257" s="60">
        <v>7500</v>
      </c>
      <c r="D257" s="58">
        <v>5000</v>
      </c>
      <c r="E257" s="99">
        <v>6200</v>
      </c>
      <c r="F257" s="58"/>
      <c r="G257" s="58">
        <v>90</v>
      </c>
      <c r="H257" s="58"/>
      <c r="I257" s="58" t="s">
        <v>384</v>
      </c>
      <c r="J257" s="58"/>
      <c r="K257" s="51">
        <v>3600</v>
      </c>
      <c r="L257" s="19">
        <f t="shared" si="20"/>
        <v>0</v>
      </c>
      <c r="M257" s="19">
        <f t="shared" si="21"/>
        <v>0</v>
      </c>
      <c r="N257" s="19">
        <f t="shared" si="22"/>
        <v>0</v>
      </c>
      <c r="O257" s="19">
        <f t="shared" si="23"/>
        <v>0</v>
      </c>
      <c r="P257" s="46"/>
      <c r="Q257" s="26"/>
    </row>
    <row r="258" spans="1:17">
      <c r="A258" s="155" t="s">
        <v>297</v>
      </c>
      <c r="B258" s="243">
        <v>0</v>
      </c>
      <c r="C258" s="60">
        <v>7500</v>
      </c>
      <c r="D258" s="58">
        <v>5000</v>
      </c>
      <c r="E258" s="99">
        <v>6000</v>
      </c>
      <c r="F258" s="58"/>
      <c r="G258" s="58">
        <v>90</v>
      </c>
      <c r="H258" s="58"/>
      <c r="I258" s="58" t="s">
        <v>384</v>
      </c>
      <c r="J258" s="58"/>
      <c r="K258" s="51">
        <v>3600</v>
      </c>
      <c r="L258" s="19">
        <f t="shared" si="20"/>
        <v>0</v>
      </c>
      <c r="M258" s="19">
        <f t="shared" si="21"/>
        <v>0</v>
      </c>
      <c r="N258" s="19">
        <f t="shared" si="22"/>
        <v>0</v>
      </c>
      <c r="O258" s="19">
        <f t="shared" si="23"/>
        <v>0</v>
      </c>
      <c r="P258" s="46"/>
      <c r="Q258" s="26"/>
    </row>
    <row r="259" spans="1:17">
      <c r="A259" s="155" t="s">
        <v>298</v>
      </c>
      <c r="B259" s="243">
        <v>0</v>
      </c>
      <c r="C259" s="60">
        <v>6000</v>
      </c>
      <c r="D259" s="58">
        <v>4500</v>
      </c>
      <c r="E259" s="99">
        <v>7500</v>
      </c>
      <c r="F259" s="58"/>
      <c r="G259" s="58">
        <v>90</v>
      </c>
      <c r="H259" s="58"/>
      <c r="I259" s="58" t="s">
        <v>384</v>
      </c>
      <c r="J259" s="58"/>
      <c r="K259" s="51">
        <v>3600</v>
      </c>
      <c r="L259" s="19">
        <f t="shared" si="20"/>
        <v>0</v>
      </c>
      <c r="M259" s="19">
        <f t="shared" si="21"/>
        <v>0</v>
      </c>
      <c r="N259" s="19">
        <f t="shared" si="22"/>
        <v>0</v>
      </c>
      <c r="O259" s="19">
        <f t="shared" si="23"/>
        <v>0</v>
      </c>
      <c r="P259" s="46"/>
      <c r="Q259" s="26"/>
    </row>
    <row r="260" spans="1:17">
      <c r="A260" s="156" t="s">
        <v>299</v>
      </c>
      <c r="B260" s="243">
        <v>0</v>
      </c>
      <c r="C260" s="60">
        <v>11000</v>
      </c>
      <c r="D260" s="58">
        <v>7500</v>
      </c>
      <c r="E260" s="99">
        <v>8000</v>
      </c>
      <c r="F260" s="58"/>
      <c r="G260" s="58">
        <v>90</v>
      </c>
      <c r="H260" s="58"/>
      <c r="I260" s="58" t="s">
        <v>384</v>
      </c>
      <c r="J260" s="58"/>
      <c r="K260" s="51">
        <v>3600</v>
      </c>
      <c r="L260" s="19">
        <f t="shared" si="20"/>
        <v>0</v>
      </c>
      <c r="M260" s="19">
        <f t="shared" si="21"/>
        <v>0</v>
      </c>
      <c r="N260" s="19">
        <f t="shared" si="22"/>
        <v>0</v>
      </c>
      <c r="O260" s="19">
        <f t="shared" si="23"/>
        <v>0</v>
      </c>
      <c r="P260" s="46"/>
      <c r="Q260" s="26"/>
    </row>
    <row r="261" spans="1:17">
      <c r="A261" s="156" t="s">
        <v>300</v>
      </c>
      <c r="B261" s="243">
        <v>0</v>
      </c>
      <c r="C261" s="60">
        <v>7000</v>
      </c>
      <c r="D261" s="58">
        <v>7000</v>
      </c>
      <c r="E261" s="99">
        <v>12000</v>
      </c>
      <c r="F261" s="58"/>
      <c r="G261" s="58">
        <v>90</v>
      </c>
      <c r="H261" s="58"/>
      <c r="I261" s="58" t="s">
        <v>384</v>
      </c>
      <c r="J261" s="58"/>
      <c r="K261" s="51">
        <v>3600</v>
      </c>
      <c r="L261" s="19">
        <f t="shared" si="20"/>
        <v>0</v>
      </c>
      <c r="M261" s="19">
        <f t="shared" si="21"/>
        <v>0</v>
      </c>
      <c r="N261" s="19">
        <f t="shared" si="22"/>
        <v>0</v>
      </c>
      <c r="O261" s="19">
        <f t="shared" si="23"/>
        <v>0</v>
      </c>
      <c r="P261" s="46"/>
      <c r="Q261" s="26"/>
    </row>
    <row r="262" spans="1:17" ht="15.75" thickBot="1">
      <c r="A262" s="157" t="s">
        <v>301</v>
      </c>
      <c r="B262" s="244">
        <v>0</v>
      </c>
      <c r="C262" s="60">
        <v>22500</v>
      </c>
      <c r="D262" s="58">
        <v>15000</v>
      </c>
      <c r="E262" s="99">
        <v>16000</v>
      </c>
      <c r="F262" s="58"/>
      <c r="G262" s="58">
        <v>90</v>
      </c>
      <c r="H262" s="58"/>
      <c r="I262" s="58" t="s">
        <v>384</v>
      </c>
      <c r="J262" s="58"/>
      <c r="K262" s="51">
        <v>3600</v>
      </c>
      <c r="L262" s="21">
        <f t="shared" si="20"/>
        <v>0</v>
      </c>
      <c r="M262" s="21">
        <f t="shared" si="21"/>
        <v>0</v>
      </c>
      <c r="N262" s="21">
        <f t="shared" si="22"/>
        <v>0</v>
      </c>
      <c r="O262" s="21">
        <f t="shared" si="23"/>
        <v>0</v>
      </c>
      <c r="P262" s="53" t="s">
        <v>79</v>
      </c>
      <c r="Q262" s="54"/>
    </row>
    <row r="263" spans="1:17">
      <c r="A263" s="152" t="s">
        <v>669</v>
      </c>
      <c r="B263" s="242">
        <v>0</v>
      </c>
      <c r="C263" s="67">
        <v>2500</v>
      </c>
      <c r="D263" s="68">
        <v>1700</v>
      </c>
      <c r="E263" s="103">
        <v>3050</v>
      </c>
      <c r="F263" s="68">
        <v>245</v>
      </c>
      <c r="G263" s="68">
        <v>60</v>
      </c>
      <c r="H263" s="68">
        <v>100</v>
      </c>
      <c r="I263" s="68" t="s">
        <v>388</v>
      </c>
      <c r="J263" s="68"/>
      <c r="K263" s="50">
        <v>3300</v>
      </c>
      <c r="L263" s="40">
        <f t="shared" si="20"/>
        <v>0</v>
      </c>
      <c r="M263" s="40">
        <f t="shared" si="21"/>
        <v>0</v>
      </c>
      <c r="N263" s="40">
        <f t="shared" si="22"/>
        <v>0</v>
      </c>
      <c r="O263" s="40">
        <f t="shared" si="23"/>
        <v>0</v>
      </c>
      <c r="P263" s="36"/>
      <c r="Q263" s="36" t="s">
        <v>229</v>
      </c>
    </row>
    <row r="264" spans="1:17">
      <c r="A264" s="153" t="s">
        <v>302</v>
      </c>
      <c r="B264" s="243">
        <v>0</v>
      </c>
      <c r="C264" s="60">
        <v>2500</v>
      </c>
      <c r="D264" s="58">
        <v>2700</v>
      </c>
      <c r="E264" s="99">
        <v>4050</v>
      </c>
      <c r="F264" s="58">
        <v>345</v>
      </c>
      <c r="G264" s="58">
        <v>85</v>
      </c>
      <c r="H264" s="58"/>
      <c r="I264" s="58" t="s">
        <v>388</v>
      </c>
      <c r="J264" s="58">
        <v>70</v>
      </c>
      <c r="K264" s="51">
        <v>3300</v>
      </c>
      <c r="L264" s="19">
        <f t="shared" si="20"/>
        <v>0</v>
      </c>
      <c r="M264" s="19">
        <f t="shared" si="21"/>
        <v>0</v>
      </c>
      <c r="N264" s="19">
        <f t="shared" si="22"/>
        <v>0</v>
      </c>
      <c r="O264" s="19">
        <f t="shared" ref="O264:O307" si="24">$B264*K264</f>
        <v>0</v>
      </c>
      <c r="P264" s="46" t="s">
        <v>76</v>
      </c>
      <c r="Q264" s="46" t="s">
        <v>303</v>
      </c>
    </row>
    <row r="265" spans="1:17">
      <c r="A265" s="153" t="s">
        <v>304</v>
      </c>
      <c r="B265" s="243">
        <v>0</v>
      </c>
      <c r="C265" s="60">
        <v>3500</v>
      </c>
      <c r="D265" s="58">
        <v>1700</v>
      </c>
      <c r="E265" s="99">
        <v>5050</v>
      </c>
      <c r="F265" s="58">
        <v>245</v>
      </c>
      <c r="G265" s="58">
        <v>85</v>
      </c>
      <c r="H265" s="58"/>
      <c r="I265" s="58" t="s">
        <v>388</v>
      </c>
      <c r="J265" s="58"/>
      <c r="K265" s="51">
        <v>3300</v>
      </c>
      <c r="L265" s="19">
        <f t="shared" si="20"/>
        <v>0</v>
      </c>
      <c r="M265" s="19">
        <f t="shared" si="21"/>
        <v>0</v>
      </c>
      <c r="N265" s="19">
        <f t="shared" si="22"/>
        <v>0</v>
      </c>
      <c r="O265" s="19">
        <f t="shared" si="24"/>
        <v>0</v>
      </c>
      <c r="P265" s="46"/>
      <c r="Q265" s="46"/>
    </row>
    <row r="266" spans="1:17">
      <c r="A266" s="155" t="s">
        <v>305</v>
      </c>
      <c r="B266" s="243">
        <v>0</v>
      </c>
      <c r="C266" s="60">
        <v>5500</v>
      </c>
      <c r="D266" s="58">
        <v>4000</v>
      </c>
      <c r="E266" s="99">
        <v>7500</v>
      </c>
      <c r="F266" s="58"/>
      <c r="G266" s="58">
        <v>85</v>
      </c>
      <c r="H266" s="58"/>
      <c r="I266" s="58" t="s">
        <v>388</v>
      </c>
      <c r="J266" s="58"/>
      <c r="K266" s="51">
        <v>3300</v>
      </c>
      <c r="L266" s="19">
        <f t="shared" si="20"/>
        <v>0</v>
      </c>
      <c r="M266" s="19">
        <f t="shared" si="21"/>
        <v>0</v>
      </c>
      <c r="N266" s="19">
        <f t="shared" si="22"/>
        <v>0</v>
      </c>
      <c r="O266" s="19">
        <f t="shared" si="24"/>
        <v>0</v>
      </c>
      <c r="P266" s="46" t="s">
        <v>76</v>
      </c>
      <c r="Q266" s="46"/>
    </row>
    <row r="267" spans="1:17">
      <c r="A267" s="155" t="s">
        <v>306</v>
      </c>
      <c r="B267" s="243">
        <v>0</v>
      </c>
      <c r="C267" s="60">
        <v>3500</v>
      </c>
      <c r="D267" s="58">
        <v>3700</v>
      </c>
      <c r="E267" s="99">
        <v>5050</v>
      </c>
      <c r="F267" s="58">
        <v>890</v>
      </c>
      <c r="G267" s="58">
        <v>85</v>
      </c>
      <c r="H267" s="58"/>
      <c r="I267" s="58" t="s">
        <v>388</v>
      </c>
      <c r="J267" s="58"/>
      <c r="K267" s="51">
        <v>3300</v>
      </c>
      <c r="L267" s="19">
        <f t="shared" si="20"/>
        <v>0</v>
      </c>
      <c r="M267" s="19">
        <f t="shared" si="21"/>
        <v>0</v>
      </c>
      <c r="N267" s="19">
        <f t="shared" si="22"/>
        <v>0</v>
      </c>
      <c r="O267" s="19">
        <f t="shared" si="24"/>
        <v>0</v>
      </c>
      <c r="P267" s="46"/>
      <c r="Q267" s="46" t="s">
        <v>263</v>
      </c>
    </row>
    <row r="268" spans="1:17">
      <c r="A268" s="156" t="s">
        <v>307</v>
      </c>
      <c r="B268" s="243">
        <v>0</v>
      </c>
      <c r="C268" s="60">
        <v>5000</v>
      </c>
      <c r="D268" s="58">
        <v>5000</v>
      </c>
      <c r="E268" s="99">
        <v>9000</v>
      </c>
      <c r="F268" s="58">
        <v>500</v>
      </c>
      <c r="G268" s="58">
        <v>85</v>
      </c>
      <c r="H268" s="58"/>
      <c r="I268" s="58" t="s">
        <v>387</v>
      </c>
      <c r="J268" s="58"/>
      <c r="K268" s="51">
        <v>3300</v>
      </c>
      <c r="L268" s="19">
        <f t="shared" si="20"/>
        <v>0</v>
      </c>
      <c r="M268" s="19">
        <f t="shared" si="21"/>
        <v>0</v>
      </c>
      <c r="N268" s="19">
        <f t="shared" si="22"/>
        <v>0</v>
      </c>
      <c r="O268" s="19">
        <f t="shared" si="24"/>
        <v>0</v>
      </c>
      <c r="P268" s="46" t="s">
        <v>76</v>
      </c>
      <c r="Q268" s="46" t="s">
        <v>308</v>
      </c>
    </row>
    <row r="269" spans="1:17" ht="15.75" thickBot="1">
      <c r="A269" s="157" t="s">
        <v>309</v>
      </c>
      <c r="B269" s="244">
        <v>0</v>
      </c>
      <c r="C269" s="61">
        <v>8500</v>
      </c>
      <c r="D269" s="57">
        <v>7700</v>
      </c>
      <c r="E269" s="100">
        <v>10050</v>
      </c>
      <c r="F269" s="57">
        <v>945</v>
      </c>
      <c r="G269" s="57">
        <v>85</v>
      </c>
      <c r="H269" s="57"/>
      <c r="I269" s="57" t="s">
        <v>388</v>
      </c>
      <c r="J269" s="57"/>
      <c r="K269" s="51">
        <v>3300</v>
      </c>
      <c r="L269" s="21">
        <f t="shared" si="20"/>
        <v>0</v>
      </c>
      <c r="M269" s="21">
        <f t="shared" si="21"/>
        <v>0</v>
      </c>
      <c r="N269" s="21">
        <f t="shared" si="22"/>
        <v>0</v>
      </c>
      <c r="O269" s="21">
        <f t="shared" si="24"/>
        <v>0</v>
      </c>
      <c r="P269" s="53" t="s">
        <v>310</v>
      </c>
      <c r="Q269" s="53" t="s">
        <v>195</v>
      </c>
    </row>
    <row r="270" spans="1:17">
      <c r="A270" s="152" t="s">
        <v>670</v>
      </c>
      <c r="B270" s="242">
        <v>0</v>
      </c>
      <c r="C270" s="166">
        <v>1100</v>
      </c>
      <c r="D270" s="167">
        <v>1500</v>
      </c>
      <c r="E270" s="168">
        <v>3200</v>
      </c>
      <c r="F270" s="167"/>
      <c r="G270" s="68">
        <v>50</v>
      </c>
      <c r="H270" s="68"/>
      <c r="I270" s="68" t="s">
        <v>389</v>
      </c>
      <c r="J270" s="167">
        <v>50</v>
      </c>
      <c r="K270" s="50">
        <v>3000</v>
      </c>
      <c r="L270" s="40">
        <f t="shared" si="20"/>
        <v>0</v>
      </c>
      <c r="M270" s="40">
        <f t="shared" si="21"/>
        <v>0</v>
      </c>
      <c r="N270" s="40">
        <f t="shared" si="22"/>
        <v>0</v>
      </c>
      <c r="O270" s="40">
        <f t="shared" si="24"/>
        <v>0</v>
      </c>
      <c r="P270" s="46"/>
      <c r="Q270" s="46"/>
    </row>
    <row r="271" spans="1:17">
      <c r="A271" s="153" t="s">
        <v>589</v>
      </c>
      <c r="B271" s="243">
        <v>0</v>
      </c>
      <c r="C271" s="78">
        <v>1600</v>
      </c>
      <c r="D271" s="43">
        <v>2200</v>
      </c>
      <c r="E271" s="97">
        <v>4800</v>
      </c>
      <c r="F271" s="43"/>
      <c r="G271" s="58">
        <v>60</v>
      </c>
      <c r="H271" s="58"/>
      <c r="I271" s="58" t="s">
        <v>389</v>
      </c>
      <c r="J271" s="43">
        <v>50</v>
      </c>
      <c r="K271" s="51">
        <v>3000</v>
      </c>
      <c r="L271" s="19">
        <f t="shared" si="20"/>
        <v>0</v>
      </c>
      <c r="M271" s="19">
        <f t="shared" si="21"/>
        <v>0</v>
      </c>
      <c r="N271" s="19">
        <f t="shared" si="22"/>
        <v>0</v>
      </c>
      <c r="O271" s="19">
        <f t="shared" si="24"/>
        <v>0</v>
      </c>
      <c r="P271" s="46"/>
      <c r="Q271" s="46"/>
    </row>
    <row r="272" spans="1:17">
      <c r="A272" s="155" t="s">
        <v>590</v>
      </c>
      <c r="B272" s="243">
        <v>0</v>
      </c>
      <c r="C272" s="78">
        <v>2200</v>
      </c>
      <c r="D272" s="43">
        <v>3000</v>
      </c>
      <c r="E272" s="97">
        <v>6400</v>
      </c>
      <c r="F272" s="43"/>
      <c r="G272" s="58">
        <v>60</v>
      </c>
      <c r="H272" s="58"/>
      <c r="I272" s="58" t="s">
        <v>389</v>
      </c>
      <c r="J272" s="43">
        <v>50</v>
      </c>
      <c r="K272" s="51">
        <v>3000</v>
      </c>
      <c r="L272" s="19">
        <f t="shared" si="20"/>
        <v>0</v>
      </c>
      <c r="M272" s="19">
        <f t="shared" si="21"/>
        <v>0</v>
      </c>
      <c r="N272" s="19">
        <f t="shared" si="22"/>
        <v>0</v>
      </c>
      <c r="O272" s="19">
        <f t="shared" si="24"/>
        <v>0</v>
      </c>
      <c r="P272" s="46"/>
      <c r="Q272" s="46"/>
    </row>
    <row r="273" spans="1:17">
      <c r="A273" s="156" t="s">
        <v>428</v>
      </c>
      <c r="B273" s="243">
        <v>0</v>
      </c>
      <c r="C273" s="78">
        <v>3300</v>
      </c>
      <c r="D273" s="43">
        <v>4500</v>
      </c>
      <c r="E273" s="97">
        <v>9600</v>
      </c>
      <c r="F273" s="43"/>
      <c r="G273" s="58">
        <v>60</v>
      </c>
      <c r="H273" s="58"/>
      <c r="I273" s="58" t="s">
        <v>389</v>
      </c>
      <c r="J273" s="43">
        <v>50</v>
      </c>
      <c r="K273" s="51">
        <v>3000</v>
      </c>
      <c r="L273" s="19">
        <f t="shared" si="20"/>
        <v>0</v>
      </c>
      <c r="M273" s="19">
        <f t="shared" si="21"/>
        <v>0</v>
      </c>
      <c r="N273" s="19">
        <f t="shared" si="22"/>
        <v>0</v>
      </c>
      <c r="O273" s="19">
        <f t="shared" si="24"/>
        <v>0</v>
      </c>
      <c r="P273" s="46"/>
      <c r="Q273" s="46"/>
    </row>
    <row r="274" spans="1:17" ht="15.75" thickBot="1">
      <c r="A274" s="157" t="s">
        <v>591</v>
      </c>
      <c r="B274" s="244">
        <v>0</v>
      </c>
      <c r="C274" s="79">
        <v>4400</v>
      </c>
      <c r="D274" s="47">
        <v>6000</v>
      </c>
      <c r="E274" s="98">
        <v>12800</v>
      </c>
      <c r="F274" s="47"/>
      <c r="G274" s="57">
        <v>60</v>
      </c>
      <c r="H274" s="57"/>
      <c r="I274" s="57" t="s">
        <v>389</v>
      </c>
      <c r="J274" s="47">
        <v>50</v>
      </c>
      <c r="K274" s="51">
        <v>3000</v>
      </c>
      <c r="L274" s="19">
        <f t="shared" si="20"/>
        <v>0</v>
      </c>
      <c r="M274" s="21">
        <f t="shared" si="21"/>
        <v>0</v>
      </c>
      <c r="N274" s="21">
        <f t="shared" si="22"/>
        <v>0</v>
      </c>
      <c r="O274" s="21">
        <f t="shared" si="24"/>
        <v>0</v>
      </c>
      <c r="P274" s="46"/>
      <c r="Q274" s="46"/>
    </row>
    <row r="275" spans="1:17">
      <c r="A275" s="152" t="s">
        <v>671</v>
      </c>
      <c r="B275" s="242">
        <v>0</v>
      </c>
      <c r="C275" s="166">
        <v>500</v>
      </c>
      <c r="D275" s="167">
        <v>900</v>
      </c>
      <c r="E275" s="168">
        <v>2600</v>
      </c>
      <c r="F275" s="166">
        <v>1000</v>
      </c>
      <c r="G275" s="68">
        <v>60</v>
      </c>
      <c r="H275" s="68"/>
      <c r="I275" s="68" t="s">
        <v>386</v>
      </c>
      <c r="J275" s="167">
        <v>1</v>
      </c>
      <c r="K275" s="50">
        <v>3500</v>
      </c>
      <c r="L275" s="40">
        <f t="shared" ref="L275:N279" si="25">$B275*C275</f>
        <v>0</v>
      </c>
      <c r="M275" s="40">
        <f t="shared" si="25"/>
        <v>0</v>
      </c>
      <c r="N275" s="40">
        <f t="shared" si="25"/>
        <v>0</v>
      </c>
      <c r="O275" s="40">
        <f>$B275*K275</f>
        <v>0</v>
      </c>
      <c r="P275" s="55"/>
      <c r="Q275" s="55" t="s">
        <v>195</v>
      </c>
    </row>
    <row r="276" spans="1:17">
      <c r="A276" s="153" t="s">
        <v>592</v>
      </c>
      <c r="B276" s="243">
        <v>0</v>
      </c>
      <c r="C276" s="78">
        <v>750</v>
      </c>
      <c r="D276" s="43">
        <v>1350</v>
      </c>
      <c r="E276" s="97">
        <v>3900</v>
      </c>
      <c r="F276" s="78">
        <v>1500</v>
      </c>
      <c r="G276" s="58">
        <v>70</v>
      </c>
      <c r="H276" s="58"/>
      <c r="I276" s="58" t="s">
        <v>386</v>
      </c>
      <c r="J276" s="43">
        <v>1</v>
      </c>
      <c r="K276" s="51">
        <v>3500</v>
      </c>
      <c r="L276" s="19">
        <f t="shared" si="25"/>
        <v>0</v>
      </c>
      <c r="M276" s="19">
        <f t="shared" si="25"/>
        <v>0</v>
      </c>
      <c r="N276" s="19">
        <f t="shared" si="25"/>
        <v>0</v>
      </c>
      <c r="O276" s="19">
        <f>$B276*K276</f>
        <v>0</v>
      </c>
      <c r="P276" s="46"/>
      <c r="Q276" s="46" t="s">
        <v>195</v>
      </c>
    </row>
    <row r="277" spans="1:17">
      <c r="A277" s="155" t="s">
        <v>593</v>
      </c>
      <c r="B277" s="243">
        <v>0</v>
      </c>
      <c r="C277" s="78">
        <v>1000</v>
      </c>
      <c r="D277" s="43">
        <v>1800</v>
      </c>
      <c r="E277" s="97">
        <v>5200</v>
      </c>
      <c r="F277" s="78">
        <v>2000</v>
      </c>
      <c r="G277" s="58">
        <v>70</v>
      </c>
      <c r="H277" s="58"/>
      <c r="I277" s="58" t="s">
        <v>386</v>
      </c>
      <c r="J277" s="43">
        <v>1</v>
      </c>
      <c r="K277" s="51">
        <v>3500</v>
      </c>
      <c r="L277" s="19">
        <f t="shared" si="25"/>
        <v>0</v>
      </c>
      <c r="M277" s="19">
        <f t="shared" si="25"/>
        <v>0</v>
      </c>
      <c r="N277" s="19">
        <f t="shared" si="25"/>
        <v>0</v>
      </c>
      <c r="O277" s="19">
        <f>$B277*K277</f>
        <v>0</v>
      </c>
      <c r="P277" s="46"/>
      <c r="Q277" s="46" t="s">
        <v>308</v>
      </c>
    </row>
    <row r="278" spans="1:17">
      <c r="A278" s="156" t="s">
        <v>594</v>
      </c>
      <c r="B278" s="243">
        <v>0</v>
      </c>
      <c r="C278" s="78">
        <v>5000</v>
      </c>
      <c r="D278" s="43">
        <v>5000</v>
      </c>
      <c r="E278" s="97">
        <v>5000</v>
      </c>
      <c r="F278" s="78"/>
      <c r="G278" s="58">
        <v>70</v>
      </c>
      <c r="H278" s="58"/>
      <c r="I278" s="58" t="s">
        <v>387</v>
      </c>
      <c r="J278" s="43">
        <v>100</v>
      </c>
      <c r="K278" s="51">
        <v>3500</v>
      </c>
      <c r="L278" s="19">
        <f t="shared" si="25"/>
        <v>0</v>
      </c>
      <c r="M278" s="19">
        <f t="shared" si="25"/>
        <v>0</v>
      </c>
      <c r="N278" s="19">
        <f t="shared" si="25"/>
        <v>0</v>
      </c>
      <c r="O278" s="19">
        <f>$B278*K278</f>
        <v>0</v>
      </c>
      <c r="P278" s="46"/>
      <c r="Q278" s="46"/>
    </row>
    <row r="279" spans="1:17" ht="15.75" thickBot="1">
      <c r="A279" s="157" t="s">
        <v>595</v>
      </c>
      <c r="B279" s="244">
        <v>0</v>
      </c>
      <c r="C279" s="79">
        <v>2000</v>
      </c>
      <c r="D279" s="47">
        <v>1800</v>
      </c>
      <c r="E279" s="98">
        <v>10200</v>
      </c>
      <c r="F279" s="79">
        <v>4000</v>
      </c>
      <c r="G279" s="57">
        <v>70</v>
      </c>
      <c r="H279" s="57"/>
      <c r="I279" s="57" t="s">
        <v>386</v>
      </c>
      <c r="J279" s="47">
        <v>1</v>
      </c>
      <c r="K279" s="52">
        <v>3500</v>
      </c>
      <c r="L279" s="19">
        <f t="shared" si="25"/>
        <v>0</v>
      </c>
      <c r="M279" s="21">
        <f t="shared" si="25"/>
        <v>0</v>
      </c>
      <c r="N279" s="21">
        <f t="shared" si="25"/>
        <v>0</v>
      </c>
      <c r="O279" s="21">
        <f>$B279*K279</f>
        <v>0</v>
      </c>
      <c r="P279" s="53"/>
      <c r="Q279" s="53" t="s">
        <v>200</v>
      </c>
    </row>
    <row r="280" spans="1:17">
      <c r="A280" s="152" t="s">
        <v>672</v>
      </c>
      <c r="B280" s="242">
        <v>0</v>
      </c>
      <c r="C280" s="77">
        <v>4095</v>
      </c>
      <c r="D280" s="13">
        <v>5200</v>
      </c>
      <c r="E280" s="51">
        <v>4600</v>
      </c>
      <c r="F280" s="13"/>
      <c r="G280" s="58">
        <v>120</v>
      </c>
      <c r="H280" s="58">
        <v>200</v>
      </c>
      <c r="I280" s="58" t="s">
        <v>390</v>
      </c>
      <c r="J280" s="13"/>
      <c r="K280" s="51">
        <v>7500</v>
      </c>
      <c r="L280" s="40">
        <f t="shared" si="20"/>
        <v>0</v>
      </c>
      <c r="M280" s="40">
        <f t="shared" si="21"/>
        <v>0</v>
      </c>
      <c r="N280" s="40">
        <f t="shared" si="22"/>
        <v>0</v>
      </c>
      <c r="O280" s="40">
        <f t="shared" si="24"/>
        <v>0</v>
      </c>
      <c r="P280" s="36"/>
      <c r="Q280" s="36"/>
    </row>
    <row r="281" spans="1:17">
      <c r="A281" s="153" t="s">
        <v>311</v>
      </c>
      <c r="B281" s="243">
        <v>0</v>
      </c>
      <c r="C281" s="60">
        <v>5095</v>
      </c>
      <c r="D281" s="58">
        <v>6200</v>
      </c>
      <c r="E281" s="99">
        <v>5600</v>
      </c>
      <c r="F281" s="58"/>
      <c r="G281" s="58">
        <v>250</v>
      </c>
      <c r="H281" s="58"/>
      <c r="I281" s="58" t="s">
        <v>390</v>
      </c>
      <c r="J281" s="58">
        <v>100</v>
      </c>
      <c r="K281" s="51">
        <v>7500</v>
      </c>
      <c r="L281" s="19">
        <f t="shared" si="20"/>
        <v>0</v>
      </c>
      <c r="M281" s="19">
        <f t="shared" si="21"/>
        <v>0</v>
      </c>
      <c r="N281" s="19">
        <f t="shared" si="22"/>
        <v>0</v>
      </c>
      <c r="O281" s="19">
        <f t="shared" si="24"/>
        <v>0</v>
      </c>
      <c r="P281" s="46"/>
      <c r="Q281" s="46"/>
    </row>
    <row r="282" spans="1:17">
      <c r="A282" s="153" t="s">
        <v>312</v>
      </c>
      <c r="B282" s="243">
        <v>0</v>
      </c>
      <c r="C282" s="60">
        <v>5000</v>
      </c>
      <c r="D282" s="58">
        <v>5500</v>
      </c>
      <c r="E282" s="99">
        <v>5000</v>
      </c>
      <c r="F282" s="58"/>
      <c r="G282" s="58">
        <v>250</v>
      </c>
      <c r="H282" s="58"/>
      <c r="I282" s="58" t="s">
        <v>390</v>
      </c>
      <c r="J282" s="58"/>
      <c r="K282" s="51">
        <v>7500</v>
      </c>
      <c r="L282" s="19">
        <f t="shared" si="20"/>
        <v>0</v>
      </c>
      <c r="M282" s="19">
        <f t="shared" si="21"/>
        <v>0</v>
      </c>
      <c r="N282" s="19">
        <f t="shared" si="22"/>
        <v>0</v>
      </c>
      <c r="O282" s="19">
        <f t="shared" si="24"/>
        <v>0</v>
      </c>
      <c r="P282" s="46" t="s">
        <v>76</v>
      </c>
      <c r="Q282" s="46"/>
    </row>
    <row r="283" spans="1:17">
      <c r="A283" s="153" t="s">
        <v>313</v>
      </c>
      <c r="B283" s="243">
        <v>0</v>
      </c>
      <c r="C283" s="60">
        <v>6000</v>
      </c>
      <c r="D283" s="58">
        <v>5500</v>
      </c>
      <c r="E283" s="99">
        <v>5750</v>
      </c>
      <c r="F283" s="58"/>
      <c r="G283" s="58">
        <v>250</v>
      </c>
      <c r="H283" s="58"/>
      <c r="I283" s="58" t="s">
        <v>390</v>
      </c>
      <c r="J283" s="58"/>
      <c r="K283" s="51">
        <v>7500</v>
      </c>
      <c r="L283" s="19">
        <f t="shared" si="20"/>
        <v>0</v>
      </c>
      <c r="M283" s="19">
        <f t="shared" si="21"/>
        <v>0</v>
      </c>
      <c r="N283" s="19">
        <f t="shared" si="22"/>
        <v>0</v>
      </c>
      <c r="O283" s="19">
        <f t="shared" si="24"/>
        <v>0</v>
      </c>
      <c r="P283" s="46"/>
      <c r="Q283" s="46"/>
    </row>
    <row r="284" spans="1:17">
      <c r="A284" s="153" t="s">
        <v>314</v>
      </c>
      <c r="B284" s="243">
        <v>0</v>
      </c>
      <c r="C284" s="60">
        <v>6000</v>
      </c>
      <c r="D284" s="58">
        <v>6500</v>
      </c>
      <c r="E284" s="99">
        <v>5000</v>
      </c>
      <c r="F284" s="58"/>
      <c r="G284" s="58">
        <v>250</v>
      </c>
      <c r="H284" s="58"/>
      <c r="I284" s="58" t="s">
        <v>390</v>
      </c>
      <c r="J284" s="58"/>
      <c r="K284" s="51">
        <v>7500</v>
      </c>
      <c r="L284" s="19">
        <f t="shared" si="20"/>
        <v>0</v>
      </c>
      <c r="M284" s="19">
        <f t="shared" si="21"/>
        <v>0</v>
      </c>
      <c r="N284" s="19">
        <f t="shared" si="22"/>
        <v>0</v>
      </c>
      <c r="O284" s="19">
        <f t="shared" si="24"/>
        <v>0</v>
      </c>
      <c r="P284" s="46"/>
      <c r="Q284" s="46"/>
    </row>
    <row r="285" spans="1:17">
      <c r="A285" s="153" t="s">
        <v>315</v>
      </c>
      <c r="B285" s="243">
        <v>0</v>
      </c>
      <c r="C285" s="60">
        <v>6500</v>
      </c>
      <c r="D285" s="58">
        <v>6500</v>
      </c>
      <c r="E285" s="99">
        <v>6500</v>
      </c>
      <c r="F285" s="58"/>
      <c r="G285" s="58">
        <v>250</v>
      </c>
      <c r="H285" s="58"/>
      <c r="I285" s="58" t="s">
        <v>390</v>
      </c>
      <c r="J285" s="58"/>
      <c r="K285" s="51">
        <v>7500</v>
      </c>
      <c r="L285" s="19">
        <f t="shared" si="20"/>
        <v>0</v>
      </c>
      <c r="M285" s="19">
        <f t="shared" si="21"/>
        <v>0</v>
      </c>
      <c r="N285" s="19">
        <f t="shared" si="22"/>
        <v>0</v>
      </c>
      <c r="O285" s="19">
        <f t="shared" si="24"/>
        <v>0</v>
      </c>
      <c r="P285" s="46"/>
      <c r="Q285" s="46"/>
    </row>
    <row r="286" spans="1:17">
      <c r="A286" s="153" t="s">
        <v>316</v>
      </c>
      <c r="B286" s="243">
        <v>0</v>
      </c>
      <c r="C286" s="60">
        <v>5200</v>
      </c>
      <c r="D286" s="58">
        <v>6500</v>
      </c>
      <c r="E286" s="99">
        <v>5750</v>
      </c>
      <c r="F286" s="58"/>
      <c r="G286" s="58">
        <v>250</v>
      </c>
      <c r="H286" s="58"/>
      <c r="I286" s="58" t="s">
        <v>390</v>
      </c>
      <c r="J286" s="58"/>
      <c r="K286" s="51">
        <v>7500</v>
      </c>
      <c r="L286" s="19">
        <f t="shared" si="20"/>
        <v>0</v>
      </c>
      <c r="M286" s="19">
        <f t="shared" si="21"/>
        <v>0</v>
      </c>
      <c r="N286" s="19">
        <f t="shared" si="22"/>
        <v>0</v>
      </c>
      <c r="O286" s="19">
        <f t="shared" si="24"/>
        <v>0</v>
      </c>
      <c r="P286" s="46"/>
      <c r="Q286" s="46"/>
    </row>
    <row r="287" spans="1:17">
      <c r="A287" s="155" t="s">
        <v>317</v>
      </c>
      <c r="B287" s="243">
        <v>0</v>
      </c>
      <c r="C287" s="60">
        <v>7000</v>
      </c>
      <c r="D287" s="58">
        <v>9000</v>
      </c>
      <c r="E287" s="99">
        <v>8000</v>
      </c>
      <c r="F287" s="58"/>
      <c r="G287" s="58">
        <v>250</v>
      </c>
      <c r="H287" s="58"/>
      <c r="I287" s="58" t="s">
        <v>390</v>
      </c>
      <c r="J287" s="58"/>
      <c r="K287" s="51">
        <v>7500</v>
      </c>
      <c r="L287" s="19">
        <f t="shared" si="20"/>
        <v>0</v>
      </c>
      <c r="M287" s="19">
        <f t="shared" si="21"/>
        <v>0</v>
      </c>
      <c r="N287" s="19">
        <f t="shared" si="22"/>
        <v>0</v>
      </c>
      <c r="O287" s="19">
        <f t="shared" si="24"/>
        <v>0</v>
      </c>
      <c r="P287" s="46" t="s">
        <v>76</v>
      </c>
      <c r="Q287" s="46"/>
    </row>
    <row r="288" spans="1:17">
      <c r="A288" s="155" t="s">
        <v>318</v>
      </c>
      <c r="B288" s="243">
        <v>0</v>
      </c>
      <c r="C288" s="60">
        <v>4000</v>
      </c>
      <c r="D288" s="58">
        <v>8000</v>
      </c>
      <c r="E288" s="99">
        <v>8000</v>
      </c>
      <c r="F288" s="58">
        <v>1680</v>
      </c>
      <c r="G288" s="58">
        <v>250</v>
      </c>
      <c r="H288" s="58"/>
      <c r="I288" s="58" t="s">
        <v>390</v>
      </c>
      <c r="J288" s="58"/>
      <c r="K288" s="51">
        <v>7500</v>
      </c>
      <c r="L288" s="19">
        <f t="shared" si="20"/>
        <v>0</v>
      </c>
      <c r="M288" s="19">
        <f t="shared" si="21"/>
        <v>0</v>
      </c>
      <c r="N288" s="19">
        <f t="shared" si="22"/>
        <v>0</v>
      </c>
      <c r="O288" s="19">
        <f t="shared" si="24"/>
        <v>0</v>
      </c>
      <c r="P288" s="46" t="s">
        <v>76</v>
      </c>
      <c r="Q288" s="46" t="s">
        <v>215</v>
      </c>
    </row>
    <row r="289" spans="1:17">
      <c r="A289" s="155" t="s">
        <v>319</v>
      </c>
      <c r="B289" s="243">
        <v>0</v>
      </c>
      <c r="C289" s="60">
        <v>7595</v>
      </c>
      <c r="D289" s="58">
        <v>8200</v>
      </c>
      <c r="E289" s="99">
        <v>8500</v>
      </c>
      <c r="F289" s="58"/>
      <c r="G289" s="58">
        <v>250</v>
      </c>
      <c r="H289" s="58"/>
      <c r="I289" s="58" t="s">
        <v>388</v>
      </c>
      <c r="J289" s="58"/>
      <c r="K289" s="51">
        <v>7500</v>
      </c>
      <c r="L289" s="19">
        <f t="shared" si="20"/>
        <v>0</v>
      </c>
      <c r="M289" s="19">
        <f t="shared" si="21"/>
        <v>0</v>
      </c>
      <c r="N289" s="19">
        <f t="shared" si="22"/>
        <v>0</v>
      </c>
      <c r="O289" s="19">
        <f t="shared" si="24"/>
        <v>0</v>
      </c>
      <c r="P289" s="46"/>
      <c r="Q289" s="46"/>
    </row>
    <row r="290" spans="1:17">
      <c r="A290" s="155" t="s">
        <v>320</v>
      </c>
      <c r="B290" s="243">
        <v>0</v>
      </c>
      <c r="C290" s="60">
        <v>8000</v>
      </c>
      <c r="D290" s="58">
        <v>8000</v>
      </c>
      <c r="E290" s="99">
        <v>8000</v>
      </c>
      <c r="F290" s="58"/>
      <c r="G290" s="58">
        <v>250</v>
      </c>
      <c r="H290" s="58"/>
      <c r="I290" s="58" t="s">
        <v>390</v>
      </c>
      <c r="J290" s="58"/>
      <c r="K290" s="51">
        <v>7500</v>
      </c>
      <c r="L290" s="19">
        <f t="shared" si="20"/>
        <v>0</v>
      </c>
      <c r="M290" s="19">
        <f t="shared" si="21"/>
        <v>0</v>
      </c>
      <c r="N290" s="19">
        <f t="shared" si="22"/>
        <v>0</v>
      </c>
      <c r="O290" s="19">
        <f t="shared" si="24"/>
        <v>0</v>
      </c>
      <c r="P290" s="46"/>
      <c r="Q290" s="46"/>
    </row>
    <row r="291" spans="1:17">
      <c r="A291" s="156" t="s">
        <v>321</v>
      </c>
      <c r="B291" s="243">
        <v>0</v>
      </c>
      <c r="C291" s="60">
        <v>10000</v>
      </c>
      <c r="D291" s="58">
        <v>15000</v>
      </c>
      <c r="E291" s="99">
        <v>10000</v>
      </c>
      <c r="F291" s="58"/>
      <c r="G291" s="58">
        <v>250</v>
      </c>
      <c r="H291" s="58"/>
      <c r="I291" s="58" t="s">
        <v>387</v>
      </c>
      <c r="J291" s="58"/>
      <c r="K291" s="51">
        <v>7500</v>
      </c>
      <c r="L291" s="19">
        <f t="shared" si="20"/>
        <v>0</v>
      </c>
      <c r="M291" s="19">
        <f t="shared" si="21"/>
        <v>0</v>
      </c>
      <c r="N291" s="19">
        <f t="shared" si="22"/>
        <v>0</v>
      </c>
      <c r="O291" s="19">
        <f t="shared" si="24"/>
        <v>0</v>
      </c>
      <c r="P291" s="46"/>
      <c r="Q291" s="46"/>
    </row>
    <row r="292" spans="1:17">
      <c r="A292" s="156" t="s">
        <v>322</v>
      </c>
      <c r="B292" s="243">
        <v>0</v>
      </c>
      <c r="C292" s="60">
        <v>10000</v>
      </c>
      <c r="D292" s="58">
        <v>12000</v>
      </c>
      <c r="E292" s="99">
        <v>12500</v>
      </c>
      <c r="F292" s="58">
        <v>540</v>
      </c>
      <c r="G292" s="58">
        <v>250</v>
      </c>
      <c r="H292" s="58"/>
      <c r="I292" s="58" t="s">
        <v>390</v>
      </c>
      <c r="J292" s="58"/>
      <c r="K292" s="51">
        <v>7500</v>
      </c>
      <c r="L292" s="19">
        <f t="shared" si="20"/>
        <v>0</v>
      </c>
      <c r="M292" s="19">
        <f t="shared" si="21"/>
        <v>0</v>
      </c>
      <c r="N292" s="19">
        <f t="shared" si="22"/>
        <v>0</v>
      </c>
      <c r="O292" s="19">
        <f t="shared" si="24"/>
        <v>0</v>
      </c>
      <c r="P292" s="46" t="s">
        <v>92</v>
      </c>
      <c r="Q292" s="46" t="s">
        <v>200</v>
      </c>
    </row>
    <row r="293" spans="1:17" ht="15.75" thickBot="1">
      <c r="A293" s="169" t="s">
        <v>323</v>
      </c>
      <c r="B293" s="243">
        <v>0</v>
      </c>
      <c r="C293" s="60">
        <v>21000</v>
      </c>
      <c r="D293" s="58">
        <v>22000</v>
      </c>
      <c r="E293" s="99">
        <v>25000</v>
      </c>
      <c r="F293" s="58"/>
      <c r="G293" s="58">
        <v>250</v>
      </c>
      <c r="H293" s="58"/>
      <c r="I293" s="58" t="s">
        <v>390</v>
      </c>
      <c r="J293" s="58"/>
      <c r="K293" s="51">
        <v>7500</v>
      </c>
      <c r="L293" s="19">
        <f t="shared" si="20"/>
        <v>0</v>
      </c>
      <c r="M293" s="19">
        <f t="shared" si="21"/>
        <v>0</v>
      </c>
      <c r="N293" s="19">
        <f t="shared" si="22"/>
        <v>0</v>
      </c>
      <c r="O293" s="19">
        <f t="shared" si="24"/>
        <v>0</v>
      </c>
      <c r="P293" s="46" t="s">
        <v>92</v>
      </c>
      <c r="Q293" s="46"/>
    </row>
    <row r="294" spans="1:17">
      <c r="A294" s="152" t="s">
        <v>673</v>
      </c>
      <c r="B294" s="242">
        <v>0</v>
      </c>
      <c r="C294" s="166">
        <v>3000</v>
      </c>
      <c r="D294" s="167">
        <v>3000</v>
      </c>
      <c r="E294" s="168">
        <v>2800</v>
      </c>
      <c r="F294" s="166">
        <v>300</v>
      </c>
      <c r="G294" s="68">
        <v>80</v>
      </c>
      <c r="H294" s="68"/>
      <c r="I294" s="68" t="s">
        <v>387</v>
      </c>
      <c r="J294" s="167">
        <v>1</v>
      </c>
      <c r="K294" s="50">
        <v>6200</v>
      </c>
      <c r="L294" s="39">
        <f t="shared" si="20"/>
        <v>0</v>
      </c>
      <c r="M294" s="40">
        <f t="shared" si="21"/>
        <v>0</v>
      </c>
      <c r="N294" s="40">
        <f t="shared" si="22"/>
        <v>0</v>
      </c>
      <c r="O294" s="41">
        <f t="shared" si="24"/>
        <v>0</v>
      </c>
      <c r="P294" s="55"/>
      <c r="Q294" s="55" t="s">
        <v>209</v>
      </c>
    </row>
    <row r="295" spans="1:17">
      <c r="A295" s="153" t="s">
        <v>597</v>
      </c>
      <c r="B295" s="243">
        <v>0</v>
      </c>
      <c r="C295" s="78">
        <v>3000</v>
      </c>
      <c r="D295" s="43">
        <v>3000</v>
      </c>
      <c r="E295" s="97">
        <v>4200</v>
      </c>
      <c r="F295" s="78">
        <v>300</v>
      </c>
      <c r="G295" s="58">
        <v>100</v>
      </c>
      <c r="H295" s="58"/>
      <c r="I295" s="58" t="s">
        <v>387</v>
      </c>
      <c r="J295" s="43"/>
      <c r="K295" s="51">
        <v>6200</v>
      </c>
      <c r="L295" s="44">
        <f t="shared" si="20"/>
        <v>0</v>
      </c>
      <c r="M295" s="19">
        <f t="shared" si="21"/>
        <v>0</v>
      </c>
      <c r="N295" s="19">
        <f t="shared" si="22"/>
        <v>0</v>
      </c>
      <c r="O295" s="20">
        <f t="shared" si="24"/>
        <v>0</v>
      </c>
      <c r="P295" s="46"/>
      <c r="Q295" s="46" t="s">
        <v>209</v>
      </c>
    </row>
    <row r="296" spans="1:17">
      <c r="A296" s="155" t="s">
        <v>598</v>
      </c>
      <c r="B296" s="243">
        <v>0</v>
      </c>
      <c r="C296" s="78">
        <v>6000</v>
      </c>
      <c r="D296" s="43">
        <v>5000</v>
      </c>
      <c r="E296" s="97">
        <v>5600</v>
      </c>
      <c r="F296" s="78"/>
      <c r="G296" s="58">
        <v>100</v>
      </c>
      <c r="H296" s="58"/>
      <c r="I296" s="58" t="s">
        <v>387</v>
      </c>
      <c r="J296" s="43"/>
      <c r="K296" s="51">
        <v>6200</v>
      </c>
      <c r="L296" s="44">
        <f t="shared" si="20"/>
        <v>0</v>
      </c>
      <c r="M296" s="19">
        <f t="shared" si="21"/>
        <v>0</v>
      </c>
      <c r="N296" s="19">
        <f t="shared" si="22"/>
        <v>0</v>
      </c>
      <c r="O296" s="20">
        <f t="shared" si="24"/>
        <v>0</v>
      </c>
      <c r="P296" s="46"/>
      <c r="Q296" s="46"/>
    </row>
    <row r="297" spans="1:17">
      <c r="A297" s="156" t="s">
        <v>599</v>
      </c>
      <c r="B297" s="243">
        <v>0</v>
      </c>
      <c r="C297" s="78">
        <v>3000</v>
      </c>
      <c r="D297" s="43">
        <v>3000</v>
      </c>
      <c r="E297" s="97">
        <v>8400</v>
      </c>
      <c r="F297" s="78">
        <v>900</v>
      </c>
      <c r="G297" s="58">
        <v>100</v>
      </c>
      <c r="H297" s="58"/>
      <c r="I297" s="58" t="s">
        <v>387</v>
      </c>
      <c r="J297" s="43"/>
      <c r="K297" s="51">
        <v>6200</v>
      </c>
      <c r="L297" s="44">
        <f t="shared" si="20"/>
        <v>0</v>
      </c>
      <c r="M297" s="19">
        <f t="shared" si="21"/>
        <v>0</v>
      </c>
      <c r="N297" s="19">
        <f t="shared" si="22"/>
        <v>0</v>
      </c>
      <c r="O297" s="20">
        <f t="shared" si="24"/>
        <v>0</v>
      </c>
      <c r="P297" s="46"/>
      <c r="Q297" s="46" t="s">
        <v>200</v>
      </c>
    </row>
    <row r="298" spans="1:17" ht="15.75" thickBot="1">
      <c r="A298" s="157" t="s">
        <v>600</v>
      </c>
      <c r="B298" s="244">
        <v>0</v>
      </c>
      <c r="C298" s="79">
        <v>3000</v>
      </c>
      <c r="D298" s="47">
        <v>3000</v>
      </c>
      <c r="E298" s="98">
        <v>32800</v>
      </c>
      <c r="F298" s="79">
        <v>5000</v>
      </c>
      <c r="G298" s="57">
        <v>100</v>
      </c>
      <c r="H298" s="57"/>
      <c r="I298" s="57" t="s">
        <v>387</v>
      </c>
      <c r="J298" s="47"/>
      <c r="K298" s="52">
        <v>6200</v>
      </c>
      <c r="L298" s="48">
        <f t="shared" si="20"/>
        <v>0</v>
      </c>
      <c r="M298" s="21">
        <f t="shared" si="21"/>
        <v>0</v>
      </c>
      <c r="N298" s="21">
        <f t="shared" si="22"/>
        <v>0</v>
      </c>
      <c r="O298" s="22">
        <f t="shared" si="24"/>
        <v>0</v>
      </c>
      <c r="P298" s="53" t="s">
        <v>601</v>
      </c>
      <c r="Q298" s="53" t="s">
        <v>346</v>
      </c>
    </row>
    <row r="299" spans="1:17">
      <c r="A299" s="170" t="s">
        <v>674</v>
      </c>
      <c r="B299" s="243">
        <v>0</v>
      </c>
      <c r="C299" s="77">
        <v>7000</v>
      </c>
      <c r="D299" s="13">
        <v>4500</v>
      </c>
      <c r="E299" s="51">
        <v>6700</v>
      </c>
      <c r="F299" s="13">
        <v>1200</v>
      </c>
      <c r="G299" s="58">
        <v>80</v>
      </c>
      <c r="H299" s="58">
        <v>200</v>
      </c>
      <c r="I299" s="58" t="s">
        <v>389</v>
      </c>
      <c r="J299" s="13"/>
      <c r="K299" s="51">
        <v>5000</v>
      </c>
      <c r="L299" s="19">
        <f t="shared" si="20"/>
        <v>0</v>
      </c>
      <c r="M299" s="19">
        <f t="shared" si="21"/>
        <v>0</v>
      </c>
      <c r="N299" s="19">
        <f t="shared" si="22"/>
        <v>0</v>
      </c>
      <c r="O299" s="19">
        <f t="shared" si="24"/>
        <v>0</v>
      </c>
      <c r="P299" s="16"/>
      <c r="Q299" s="46" t="s">
        <v>330</v>
      </c>
    </row>
    <row r="300" spans="1:17">
      <c r="A300" s="153" t="s">
        <v>324</v>
      </c>
      <c r="B300" s="243">
        <v>0</v>
      </c>
      <c r="C300" s="60">
        <v>8000</v>
      </c>
      <c r="D300" s="58">
        <v>6000</v>
      </c>
      <c r="E300" s="99">
        <v>10000</v>
      </c>
      <c r="F300" s="58">
        <v>1200</v>
      </c>
      <c r="G300" s="58">
        <v>220</v>
      </c>
      <c r="H300" s="58"/>
      <c r="I300" s="58" t="s">
        <v>389</v>
      </c>
      <c r="J300" s="58">
        <v>1</v>
      </c>
      <c r="K300" s="51">
        <v>5000</v>
      </c>
      <c r="L300" s="19">
        <f t="shared" si="20"/>
        <v>0</v>
      </c>
      <c r="M300" s="19">
        <f t="shared" si="21"/>
        <v>0</v>
      </c>
      <c r="N300" s="19">
        <f t="shared" si="22"/>
        <v>0</v>
      </c>
      <c r="O300" s="19">
        <f t="shared" si="24"/>
        <v>0</v>
      </c>
      <c r="P300" s="46"/>
      <c r="Q300" s="46" t="s">
        <v>198</v>
      </c>
    </row>
    <row r="301" spans="1:17">
      <c r="A301" s="153" t="s">
        <v>325</v>
      </c>
      <c r="B301" s="243">
        <v>0</v>
      </c>
      <c r="C301" s="60">
        <v>8800</v>
      </c>
      <c r="D301" s="58">
        <v>5600</v>
      </c>
      <c r="E301" s="99">
        <v>8400</v>
      </c>
      <c r="F301" s="58">
        <v>1500</v>
      </c>
      <c r="G301" s="58">
        <v>220</v>
      </c>
      <c r="H301" s="58"/>
      <c r="I301" s="58" t="s">
        <v>389</v>
      </c>
      <c r="J301" s="58"/>
      <c r="K301" s="51">
        <v>5000</v>
      </c>
      <c r="L301" s="19">
        <f t="shared" si="20"/>
        <v>0</v>
      </c>
      <c r="M301" s="19">
        <f t="shared" si="21"/>
        <v>0</v>
      </c>
      <c r="N301" s="19">
        <f t="shared" si="22"/>
        <v>0</v>
      </c>
      <c r="O301" s="19">
        <f t="shared" si="24"/>
        <v>0</v>
      </c>
      <c r="P301" s="46"/>
      <c r="Q301" s="46"/>
    </row>
    <row r="302" spans="1:17">
      <c r="A302" s="153" t="s">
        <v>326</v>
      </c>
      <c r="B302" s="243">
        <v>0</v>
      </c>
      <c r="C302" s="60">
        <v>8000</v>
      </c>
      <c r="D302" s="58">
        <v>5500</v>
      </c>
      <c r="E302" s="99">
        <v>7700</v>
      </c>
      <c r="F302" s="58">
        <v>1800</v>
      </c>
      <c r="G302" s="58">
        <v>220</v>
      </c>
      <c r="H302" s="58"/>
      <c r="I302" s="58" t="s">
        <v>389</v>
      </c>
      <c r="J302" s="58"/>
      <c r="K302" s="51">
        <v>5000</v>
      </c>
      <c r="L302" s="19">
        <f t="shared" si="20"/>
        <v>0</v>
      </c>
      <c r="M302" s="19">
        <f t="shared" si="21"/>
        <v>0</v>
      </c>
      <c r="N302" s="19">
        <f t="shared" si="22"/>
        <v>0</v>
      </c>
      <c r="O302" s="19">
        <f t="shared" si="24"/>
        <v>0</v>
      </c>
      <c r="P302" s="46" t="s">
        <v>76</v>
      </c>
      <c r="Q302" s="46" t="s">
        <v>207</v>
      </c>
    </row>
    <row r="303" spans="1:17">
      <c r="A303" s="155" t="s">
        <v>327</v>
      </c>
      <c r="B303" s="243">
        <v>0</v>
      </c>
      <c r="C303" s="60">
        <v>12000</v>
      </c>
      <c r="D303" s="58">
        <v>12000</v>
      </c>
      <c r="E303" s="99">
        <v>12000</v>
      </c>
      <c r="F303" s="58">
        <v>1200</v>
      </c>
      <c r="G303" s="58">
        <v>220</v>
      </c>
      <c r="H303" s="58"/>
      <c r="I303" s="58" t="s">
        <v>389</v>
      </c>
      <c r="J303" s="58"/>
      <c r="K303" s="51">
        <v>5000</v>
      </c>
      <c r="L303" s="19">
        <f t="shared" si="20"/>
        <v>0</v>
      </c>
      <c r="M303" s="19">
        <f t="shared" si="21"/>
        <v>0</v>
      </c>
      <c r="N303" s="19">
        <f t="shared" si="22"/>
        <v>0</v>
      </c>
      <c r="O303" s="19">
        <f t="shared" si="24"/>
        <v>0</v>
      </c>
      <c r="P303" s="46"/>
      <c r="Q303" s="46"/>
    </row>
    <row r="304" spans="1:17">
      <c r="A304" s="155" t="s">
        <v>328</v>
      </c>
      <c r="B304" s="243">
        <v>0</v>
      </c>
      <c r="C304" s="60">
        <v>12250</v>
      </c>
      <c r="D304" s="58">
        <v>7875</v>
      </c>
      <c r="E304" s="99">
        <v>11725</v>
      </c>
      <c r="F304" s="58">
        <v>2100</v>
      </c>
      <c r="G304" s="58">
        <v>220</v>
      </c>
      <c r="H304" s="58"/>
      <c r="I304" s="58" t="s">
        <v>389</v>
      </c>
      <c r="J304" s="58"/>
      <c r="K304" s="51">
        <v>5000</v>
      </c>
      <c r="L304" s="19">
        <f t="shared" si="20"/>
        <v>0</v>
      </c>
      <c r="M304" s="19">
        <f t="shared" si="21"/>
        <v>0</v>
      </c>
      <c r="N304" s="19">
        <f t="shared" si="22"/>
        <v>0</v>
      </c>
      <c r="O304" s="19">
        <f t="shared" si="24"/>
        <v>0</v>
      </c>
      <c r="P304" s="46"/>
      <c r="Q304" s="46"/>
    </row>
    <row r="305" spans="1:17">
      <c r="A305" s="156" t="s">
        <v>329</v>
      </c>
      <c r="B305" s="243">
        <v>0</v>
      </c>
      <c r="C305" s="60">
        <v>7000</v>
      </c>
      <c r="D305" s="58">
        <v>4500</v>
      </c>
      <c r="E305" s="99">
        <v>6700</v>
      </c>
      <c r="F305" s="58">
        <v>1200</v>
      </c>
      <c r="G305" s="58">
        <v>220</v>
      </c>
      <c r="H305" s="58"/>
      <c r="I305" s="58" t="s">
        <v>389</v>
      </c>
      <c r="J305" s="58"/>
      <c r="K305" s="51">
        <v>5000</v>
      </c>
      <c r="L305" s="19">
        <f t="shared" si="20"/>
        <v>0</v>
      </c>
      <c r="M305" s="19">
        <f t="shared" si="21"/>
        <v>0</v>
      </c>
      <c r="N305" s="19">
        <f t="shared" si="22"/>
        <v>0</v>
      </c>
      <c r="O305" s="19">
        <f t="shared" si="24"/>
        <v>0</v>
      </c>
      <c r="P305" s="46"/>
      <c r="Q305" s="46" t="s">
        <v>330</v>
      </c>
    </row>
    <row r="306" spans="1:17">
      <c r="A306" s="156" t="s">
        <v>331</v>
      </c>
      <c r="B306" s="243">
        <v>0</v>
      </c>
      <c r="C306" s="60">
        <v>15000</v>
      </c>
      <c r="D306" s="58">
        <v>12000</v>
      </c>
      <c r="E306" s="99">
        <v>14000</v>
      </c>
      <c r="F306" s="58">
        <v>2500</v>
      </c>
      <c r="G306" s="58">
        <v>220</v>
      </c>
      <c r="H306" s="58"/>
      <c r="I306" s="58" t="s">
        <v>389</v>
      </c>
      <c r="J306" s="58"/>
      <c r="K306" s="51">
        <v>5000</v>
      </c>
      <c r="L306" s="19">
        <f t="shared" si="20"/>
        <v>0</v>
      </c>
      <c r="M306" s="19">
        <f t="shared" si="21"/>
        <v>0</v>
      </c>
      <c r="N306" s="19">
        <f t="shared" si="22"/>
        <v>0</v>
      </c>
      <c r="O306" s="19">
        <f t="shared" si="24"/>
        <v>0</v>
      </c>
      <c r="P306" s="46" t="s">
        <v>79</v>
      </c>
      <c r="Q306" s="46" t="s">
        <v>332</v>
      </c>
    </row>
    <row r="307" spans="1:17" ht="15.75" thickBot="1">
      <c r="A307" s="169" t="s">
        <v>333</v>
      </c>
      <c r="B307" s="243">
        <v>0</v>
      </c>
      <c r="C307" s="60">
        <v>40000</v>
      </c>
      <c r="D307" s="58">
        <v>33000</v>
      </c>
      <c r="E307" s="99">
        <v>40000</v>
      </c>
      <c r="F307" s="58">
        <v>1200</v>
      </c>
      <c r="G307" s="58">
        <v>220</v>
      </c>
      <c r="H307" s="58"/>
      <c r="I307" s="58" t="s">
        <v>389</v>
      </c>
      <c r="J307" s="58"/>
      <c r="K307" s="51">
        <v>5000</v>
      </c>
      <c r="L307" s="19">
        <f t="shared" si="20"/>
        <v>0</v>
      </c>
      <c r="M307" s="19">
        <f t="shared" si="21"/>
        <v>0</v>
      </c>
      <c r="N307" s="19">
        <f t="shared" si="22"/>
        <v>0</v>
      </c>
      <c r="O307" s="19">
        <f t="shared" si="24"/>
        <v>0</v>
      </c>
      <c r="P307" s="46" t="s">
        <v>92</v>
      </c>
      <c r="Q307" s="46"/>
    </row>
    <row r="308" spans="1:17">
      <c r="A308" s="152" t="s">
        <v>675</v>
      </c>
      <c r="B308" s="242">
        <v>0</v>
      </c>
      <c r="C308" s="166">
        <v>5100</v>
      </c>
      <c r="D308" s="167">
        <v>5600</v>
      </c>
      <c r="E308" s="168">
        <v>6400</v>
      </c>
      <c r="F308" s="167"/>
      <c r="G308" s="68">
        <v>140</v>
      </c>
      <c r="H308" s="68"/>
      <c r="I308" s="68" t="s">
        <v>388</v>
      </c>
      <c r="J308" s="167">
        <v>120</v>
      </c>
      <c r="K308" s="50">
        <v>8000</v>
      </c>
      <c r="L308" s="39">
        <f t="shared" ref="L308:N312" si="26">$B308*C308</f>
        <v>0</v>
      </c>
      <c r="M308" s="40">
        <f t="shared" si="26"/>
        <v>0</v>
      </c>
      <c r="N308" s="40">
        <f t="shared" si="26"/>
        <v>0</v>
      </c>
      <c r="O308" s="41">
        <f>$B308*K308</f>
        <v>0</v>
      </c>
      <c r="P308" s="171"/>
      <c r="Q308" s="171"/>
    </row>
    <row r="309" spans="1:17">
      <c r="A309" s="153" t="s">
        <v>602</v>
      </c>
      <c r="B309" s="243">
        <v>0</v>
      </c>
      <c r="C309" s="78">
        <v>7550</v>
      </c>
      <c r="D309" s="43">
        <v>8400</v>
      </c>
      <c r="E309" s="97">
        <v>9600</v>
      </c>
      <c r="F309" s="43"/>
      <c r="G309" s="58">
        <v>180</v>
      </c>
      <c r="H309" s="58"/>
      <c r="I309" s="58" t="s">
        <v>388</v>
      </c>
      <c r="J309" s="43">
        <v>120</v>
      </c>
      <c r="K309" s="51">
        <v>8000</v>
      </c>
      <c r="L309" s="44">
        <f t="shared" si="26"/>
        <v>0</v>
      </c>
      <c r="M309" s="19">
        <f t="shared" si="26"/>
        <v>0</v>
      </c>
      <c r="N309" s="19">
        <f t="shared" si="26"/>
        <v>0</v>
      </c>
      <c r="O309" s="20">
        <f>$B309*K309</f>
        <v>0</v>
      </c>
      <c r="P309" s="45"/>
      <c r="Q309" s="45"/>
    </row>
    <row r="310" spans="1:17">
      <c r="A310" s="155" t="s">
        <v>603</v>
      </c>
      <c r="B310" s="243">
        <v>0</v>
      </c>
      <c r="C310" s="78">
        <v>10200</v>
      </c>
      <c r="D310" s="43">
        <v>11200</v>
      </c>
      <c r="E310" s="97">
        <v>12800</v>
      </c>
      <c r="F310" s="43"/>
      <c r="G310" s="58">
        <v>180</v>
      </c>
      <c r="H310" s="58"/>
      <c r="I310" s="58" t="s">
        <v>388</v>
      </c>
      <c r="J310" s="43">
        <v>120</v>
      </c>
      <c r="K310" s="51">
        <v>8000</v>
      </c>
      <c r="L310" s="44">
        <f t="shared" si="26"/>
        <v>0</v>
      </c>
      <c r="M310" s="19">
        <f t="shared" si="26"/>
        <v>0</v>
      </c>
      <c r="N310" s="19">
        <f t="shared" si="26"/>
        <v>0</v>
      </c>
      <c r="O310" s="20">
        <f>$B310*K310</f>
        <v>0</v>
      </c>
      <c r="P310" s="45"/>
      <c r="Q310" s="45"/>
    </row>
    <row r="311" spans="1:17">
      <c r="A311" s="156" t="s">
        <v>604</v>
      </c>
      <c r="B311" s="243">
        <v>0</v>
      </c>
      <c r="C311" s="78">
        <v>15300</v>
      </c>
      <c r="D311" s="43">
        <v>16800</v>
      </c>
      <c r="E311" s="97">
        <v>19200</v>
      </c>
      <c r="F311" s="43"/>
      <c r="G311" s="58">
        <v>180</v>
      </c>
      <c r="H311" s="58"/>
      <c r="I311" s="58" t="s">
        <v>388</v>
      </c>
      <c r="J311" s="43">
        <v>120</v>
      </c>
      <c r="K311" s="51">
        <v>8000</v>
      </c>
      <c r="L311" s="44">
        <f t="shared" si="26"/>
        <v>0</v>
      </c>
      <c r="M311" s="19">
        <f t="shared" si="26"/>
        <v>0</v>
      </c>
      <c r="N311" s="19">
        <f t="shared" si="26"/>
        <v>0</v>
      </c>
      <c r="O311" s="20">
        <f>$B311*K311</f>
        <v>0</v>
      </c>
      <c r="P311" s="45"/>
      <c r="Q311" s="45"/>
    </row>
    <row r="312" spans="1:17" ht="15.75" thickBot="1">
      <c r="A312" s="157" t="s">
        <v>605</v>
      </c>
      <c r="B312" s="244">
        <v>0</v>
      </c>
      <c r="C312" s="79">
        <v>20400</v>
      </c>
      <c r="D312" s="47">
        <v>22400</v>
      </c>
      <c r="E312" s="98">
        <v>25600</v>
      </c>
      <c r="F312" s="43"/>
      <c r="G312" s="58">
        <v>180</v>
      </c>
      <c r="H312" s="58"/>
      <c r="I312" s="58" t="s">
        <v>388</v>
      </c>
      <c r="J312" s="43">
        <v>120</v>
      </c>
      <c r="K312" s="51">
        <v>8000</v>
      </c>
      <c r="L312" s="48">
        <f t="shared" si="26"/>
        <v>0</v>
      </c>
      <c r="M312" s="21">
        <f t="shared" si="26"/>
        <v>0</v>
      </c>
      <c r="N312" s="21">
        <f t="shared" si="26"/>
        <v>0</v>
      </c>
      <c r="O312" s="22">
        <f>$B312*K312</f>
        <v>0</v>
      </c>
      <c r="P312" s="49"/>
      <c r="Q312" s="49"/>
    </row>
    <row r="313" spans="1:17" ht="15.75" thickBot="1">
      <c r="A313" s="172" t="s">
        <v>676</v>
      </c>
      <c r="B313" s="244">
        <v>0</v>
      </c>
      <c r="C313" s="77">
        <v>850</v>
      </c>
      <c r="D313" s="13">
        <v>1500</v>
      </c>
      <c r="E313" s="51">
        <v>800</v>
      </c>
      <c r="F313" s="324"/>
      <c r="G313" s="179">
        <v>20</v>
      </c>
      <c r="H313" s="179">
        <v>50</v>
      </c>
      <c r="I313" s="179" t="s">
        <v>388</v>
      </c>
      <c r="J313" s="176">
        <v>1000</v>
      </c>
      <c r="K313" s="177">
        <v>1200</v>
      </c>
      <c r="L313" s="21">
        <f t="shared" si="20"/>
        <v>0</v>
      </c>
      <c r="M313" s="21">
        <f t="shared" si="21"/>
        <v>0</v>
      </c>
      <c r="N313" s="21">
        <f t="shared" si="22"/>
        <v>0</v>
      </c>
      <c r="O313" s="21">
        <f t="shared" ref="O313:O338" si="27">$B313*K313</f>
        <v>0</v>
      </c>
      <c r="P313" s="17"/>
      <c r="Q313" s="54"/>
    </row>
    <row r="314" spans="1:17">
      <c r="A314" s="152" t="s">
        <v>677</v>
      </c>
      <c r="B314" s="242">
        <v>0</v>
      </c>
      <c r="C314" s="37">
        <v>8100</v>
      </c>
      <c r="D314" s="38">
        <v>7200</v>
      </c>
      <c r="E314" s="50">
        <v>7100</v>
      </c>
      <c r="F314" s="38"/>
      <c r="G314" s="68">
        <v>130</v>
      </c>
      <c r="H314" s="68">
        <v>250</v>
      </c>
      <c r="I314" s="68" t="s">
        <v>384</v>
      </c>
      <c r="J314" s="38"/>
      <c r="K314" s="50">
        <v>10000</v>
      </c>
      <c r="L314" s="40">
        <f t="shared" ref="L314:L353" si="28">$B314*C314</f>
        <v>0</v>
      </c>
      <c r="M314" s="40">
        <f t="shared" ref="M314:M353" si="29">$B314*D314</f>
        <v>0</v>
      </c>
      <c r="N314" s="40">
        <f t="shared" ref="N314:N353" si="30">$B314*E314</f>
        <v>0</v>
      </c>
      <c r="O314" s="40">
        <f t="shared" si="27"/>
        <v>0</v>
      </c>
      <c r="P314" s="36"/>
      <c r="Q314" s="42"/>
    </row>
    <row r="315" spans="1:17">
      <c r="A315" s="153" t="s">
        <v>334</v>
      </c>
      <c r="B315" s="243">
        <v>0</v>
      </c>
      <c r="C315" s="60">
        <v>8100</v>
      </c>
      <c r="D315" s="58">
        <v>7200</v>
      </c>
      <c r="E315" s="99">
        <v>11111</v>
      </c>
      <c r="F315" s="58"/>
      <c r="G315" s="58">
        <v>350</v>
      </c>
      <c r="H315" s="58"/>
      <c r="I315" s="58" t="s">
        <v>384</v>
      </c>
      <c r="J315" s="58">
        <v>425</v>
      </c>
      <c r="K315" s="51">
        <v>10000</v>
      </c>
      <c r="L315" s="19">
        <f t="shared" si="28"/>
        <v>0</v>
      </c>
      <c r="M315" s="19">
        <f t="shared" si="29"/>
        <v>0</v>
      </c>
      <c r="N315" s="19">
        <f t="shared" si="30"/>
        <v>0</v>
      </c>
      <c r="O315" s="19">
        <f t="shared" si="27"/>
        <v>0</v>
      </c>
      <c r="P315" s="46"/>
      <c r="Q315" s="26"/>
    </row>
    <row r="316" spans="1:17">
      <c r="A316" s="153" t="s">
        <v>335</v>
      </c>
      <c r="B316" s="243">
        <v>0</v>
      </c>
      <c r="C316" s="60">
        <v>10100</v>
      </c>
      <c r="D316" s="58">
        <v>9200</v>
      </c>
      <c r="E316" s="99">
        <v>7800</v>
      </c>
      <c r="F316" s="58"/>
      <c r="G316" s="58">
        <v>350</v>
      </c>
      <c r="H316" s="58"/>
      <c r="I316" s="58" t="s">
        <v>384</v>
      </c>
      <c r="J316" s="58"/>
      <c r="K316" s="51">
        <v>10000</v>
      </c>
      <c r="L316" s="19">
        <f t="shared" si="28"/>
        <v>0</v>
      </c>
      <c r="M316" s="19">
        <f t="shared" si="29"/>
        <v>0</v>
      </c>
      <c r="N316" s="19">
        <f t="shared" si="30"/>
        <v>0</v>
      </c>
      <c r="O316" s="19">
        <f t="shared" si="27"/>
        <v>0</v>
      </c>
      <c r="P316" s="46" t="s">
        <v>76</v>
      </c>
      <c r="Q316" s="26"/>
    </row>
    <row r="317" spans="1:17">
      <c r="A317" s="155" t="s">
        <v>336</v>
      </c>
      <c r="B317" s="243">
        <v>0</v>
      </c>
      <c r="C317" s="60">
        <v>10000</v>
      </c>
      <c r="D317" s="58">
        <v>10000</v>
      </c>
      <c r="E317" s="99">
        <v>10000</v>
      </c>
      <c r="F317" s="58"/>
      <c r="G317" s="58">
        <v>350</v>
      </c>
      <c r="H317" s="58"/>
      <c r="I317" s="58" t="s">
        <v>384</v>
      </c>
      <c r="J317" s="58"/>
      <c r="K317" s="51">
        <v>10000</v>
      </c>
      <c r="L317" s="19">
        <f t="shared" si="28"/>
        <v>0</v>
      </c>
      <c r="M317" s="19">
        <f t="shared" si="29"/>
        <v>0</v>
      </c>
      <c r="N317" s="19">
        <f t="shared" si="30"/>
        <v>0</v>
      </c>
      <c r="O317" s="19">
        <f t="shared" si="27"/>
        <v>0</v>
      </c>
      <c r="P317" s="46"/>
      <c r="Q317" s="26"/>
    </row>
    <row r="318" spans="1:17" ht="15.75" thickBot="1">
      <c r="A318" s="156" t="s">
        <v>337</v>
      </c>
      <c r="B318" s="243">
        <v>0</v>
      </c>
      <c r="C318" s="60">
        <v>20000</v>
      </c>
      <c r="D318" s="58">
        <v>18000</v>
      </c>
      <c r="E318" s="99">
        <v>16000</v>
      </c>
      <c r="F318" s="58"/>
      <c r="G318" s="58">
        <v>350</v>
      </c>
      <c r="H318" s="58"/>
      <c r="I318" s="58" t="s">
        <v>390</v>
      </c>
      <c r="J318" s="58"/>
      <c r="K318" s="51">
        <v>10000</v>
      </c>
      <c r="L318" s="19">
        <f t="shared" si="28"/>
        <v>0</v>
      </c>
      <c r="M318" s="19">
        <f t="shared" si="29"/>
        <v>0</v>
      </c>
      <c r="N318" s="19">
        <f t="shared" si="30"/>
        <v>0</v>
      </c>
      <c r="O318" s="19">
        <f t="shared" si="27"/>
        <v>0</v>
      </c>
      <c r="P318" s="46" t="s">
        <v>76</v>
      </c>
      <c r="Q318" s="26"/>
    </row>
    <row r="319" spans="1:17">
      <c r="A319" s="152" t="s">
        <v>678</v>
      </c>
      <c r="B319" s="242">
        <v>0</v>
      </c>
      <c r="C319" s="166">
        <v>12000</v>
      </c>
      <c r="D319" s="167">
        <v>10000</v>
      </c>
      <c r="E319" s="168">
        <v>17000</v>
      </c>
      <c r="F319" s="167"/>
      <c r="G319" s="68">
        <v>200</v>
      </c>
      <c r="H319" s="68"/>
      <c r="I319" s="68" t="s">
        <v>389</v>
      </c>
      <c r="J319" s="167">
        <v>500</v>
      </c>
      <c r="K319" s="50">
        <v>15000</v>
      </c>
      <c r="L319" s="39">
        <f t="shared" si="28"/>
        <v>0</v>
      </c>
      <c r="M319" s="40">
        <f t="shared" si="29"/>
        <v>0</v>
      </c>
      <c r="N319" s="40">
        <f t="shared" si="30"/>
        <v>0</v>
      </c>
      <c r="O319" s="41">
        <f t="shared" ref="O319:O328" si="31">$B319*K319</f>
        <v>0</v>
      </c>
      <c r="P319" s="171"/>
      <c r="Q319" s="171"/>
    </row>
    <row r="320" spans="1:17">
      <c r="A320" s="153" t="s">
        <v>608</v>
      </c>
      <c r="B320" s="243">
        <v>0</v>
      </c>
      <c r="C320" s="78">
        <v>12000</v>
      </c>
      <c r="D320" s="43">
        <v>10000</v>
      </c>
      <c r="E320" s="97">
        <v>17000</v>
      </c>
      <c r="F320" s="43"/>
      <c r="G320" s="58">
        <v>250</v>
      </c>
      <c r="H320" s="58"/>
      <c r="I320" s="58" t="s">
        <v>389</v>
      </c>
      <c r="J320" s="43">
        <v>500</v>
      </c>
      <c r="K320" s="51">
        <v>15000</v>
      </c>
      <c r="L320" s="44">
        <f t="shared" si="28"/>
        <v>0</v>
      </c>
      <c r="M320" s="19">
        <f t="shared" si="29"/>
        <v>0</v>
      </c>
      <c r="N320" s="19">
        <f t="shared" si="30"/>
        <v>0</v>
      </c>
      <c r="O320" s="20">
        <f t="shared" si="31"/>
        <v>0</v>
      </c>
      <c r="P320" s="45"/>
      <c r="Q320" s="45"/>
    </row>
    <row r="321" spans="1:17">
      <c r="A321" s="155" t="s">
        <v>609</v>
      </c>
      <c r="B321" s="243">
        <v>0</v>
      </c>
      <c r="C321" s="78">
        <v>14000</v>
      </c>
      <c r="D321" s="43">
        <v>11000</v>
      </c>
      <c r="E321" s="97">
        <v>21000</v>
      </c>
      <c r="F321" s="43"/>
      <c r="G321" s="58">
        <v>250</v>
      </c>
      <c r="H321" s="58"/>
      <c r="I321" s="58" t="s">
        <v>389</v>
      </c>
      <c r="J321" s="43">
        <v>500</v>
      </c>
      <c r="K321" s="51">
        <v>15000</v>
      </c>
      <c r="L321" s="44">
        <f t="shared" si="28"/>
        <v>0</v>
      </c>
      <c r="M321" s="19">
        <f t="shared" si="29"/>
        <v>0</v>
      </c>
      <c r="N321" s="19">
        <f t="shared" si="30"/>
        <v>0</v>
      </c>
      <c r="O321" s="20">
        <f t="shared" si="31"/>
        <v>0</v>
      </c>
      <c r="P321" s="45"/>
      <c r="Q321" s="45"/>
    </row>
    <row r="322" spans="1:17">
      <c r="A322" s="156" t="s">
        <v>610</v>
      </c>
      <c r="B322" s="243">
        <v>0</v>
      </c>
      <c r="C322" s="78">
        <v>15000</v>
      </c>
      <c r="D322" s="43">
        <v>14000</v>
      </c>
      <c r="E322" s="97">
        <v>26000</v>
      </c>
      <c r="F322" s="43"/>
      <c r="G322" s="58">
        <v>250</v>
      </c>
      <c r="H322" s="58"/>
      <c r="I322" s="58" t="s">
        <v>389</v>
      </c>
      <c r="J322" s="43">
        <v>500</v>
      </c>
      <c r="K322" s="51">
        <v>15000</v>
      </c>
      <c r="L322" s="44">
        <f t="shared" si="28"/>
        <v>0</v>
      </c>
      <c r="M322" s="19">
        <f t="shared" si="29"/>
        <v>0</v>
      </c>
      <c r="N322" s="19">
        <f t="shared" si="30"/>
        <v>0</v>
      </c>
      <c r="O322" s="20">
        <f t="shared" si="31"/>
        <v>0</v>
      </c>
      <c r="P322" s="45"/>
      <c r="Q322" s="45"/>
    </row>
    <row r="323" spans="1:17" ht="15.75" thickBot="1">
      <c r="A323" s="157" t="s">
        <v>611</v>
      </c>
      <c r="B323" s="244">
        <v>0</v>
      </c>
      <c r="C323" s="79">
        <v>25000</v>
      </c>
      <c r="D323" s="47">
        <v>20000</v>
      </c>
      <c r="E323" s="98">
        <v>34000</v>
      </c>
      <c r="F323" s="47"/>
      <c r="G323" s="57">
        <v>250</v>
      </c>
      <c r="H323" s="57"/>
      <c r="I323" s="57" t="s">
        <v>389</v>
      </c>
      <c r="J323" s="47">
        <v>500</v>
      </c>
      <c r="K323" s="51">
        <v>15000</v>
      </c>
      <c r="L323" s="48">
        <f t="shared" si="28"/>
        <v>0</v>
      </c>
      <c r="M323" s="21">
        <f t="shared" si="29"/>
        <v>0</v>
      </c>
      <c r="N323" s="21">
        <f t="shared" si="30"/>
        <v>0</v>
      </c>
      <c r="O323" s="22">
        <f t="shared" si="31"/>
        <v>0</v>
      </c>
      <c r="P323" s="49"/>
      <c r="Q323" s="49"/>
    </row>
    <row r="324" spans="1:17">
      <c r="A324" s="152" t="s">
        <v>679</v>
      </c>
      <c r="B324" s="242">
        <v>0</v>
      </c>
      <c r="C324" s="166">
        <v>600</v>
      </c>
      <c r="D324" s="167">
        <v>800</v>
      </c>
      <c r="E324" s="168">
        <v>1000</v>
      </c>
      <c r="F324" s="167">
        <v>300</v>
      </c>
      <c r="G324" s="68">
        <v>30</v>
      </c>
      <c r="H324" s="68"/>
      <c r="I324" s="68" t="s">
        <v>387</v>
      </c>
      <c r="J324" s="167">
        <v>1</v>
      </c>
      <c r="K324" s="50">
        <v>2000</v>
      </c>
      <c r="L324" s="39">
        <f t="shared" ref="L324:N328" si="32">$B324*C324</f>
        <v>0</v>
      </c>
      <c r="M324" s="40">
        <f t="shared" si="32"/>
        <v>0</v>
      </c>
      <c r="N324" s="40">
        <f t="shared" si="32"/>
        <v>0</v>
      </c>
      <c r="O324" s="41">
        <f t="shared" si="31"/>
        <v>0</v>
      </c>
      <c r="P324" s="171"/>
      <c r="Q324" s="171" t="s">
        <v>346</v>
      </c>
    </row>
    <row r="325" spans="1:17">
      <c r="A325" s="153" t="s">
        <v>612</v>
      </c>
      <c r="B325" s="243">
        <v>0</v>
      </c>
      <c r="C325" s="78">
        <v>600</v>
      </c>
      <c r="D325" s="43">
        <v>800</v>
      </c>
      <c r="E325" s="97">
        <v>1000</v>
      </c>
      <c r="F325" s="43">
        <v>300</v>
      </c>
      <c r="G325" s="58">
        <v>35</v>
      </c>
      <c r="H325" s="58"/>
      <c r="I325" s="58" t="s">
        <v>387</v>
      </c>
      <c r="J325" s="43"/>
      <c r="K325" s="51">
        <v>2000</v>
      </c>
      <c r="L325" s="44">
        <f t="shared" si="32"/>
        <v>0</v>
      </c>
      <c r="M325" s="19">
        <f t="shared" si="32"/>
        <v>0</v>
      </c>
      <c r="N325" s="19">
        <f t="shared" si="32"/>
        <v>0</v>
      </c>
      <c r="O325" s="20">
        <f t="shared" si="31"/>
        <v>0</v>
      </c>
      <c r="P325" s="45"/>
      <c r="Q325" s="45" t="s">
        <v>346</v>
      </c>
    </row>
    <row r="326" spans="1:17">
      <c r="A326" s="155" t="s">
        <v>613</v>
      </c>
      <c r="B326" s="243">
        <v>0</v>
      </c>
      <c r="C326" s="78">
        <v>4000</v>
      </c>
      <c r="D326" s="43">
        <v>4000</v>
      </c>
      <c r="E326" s="97">
        <v>5800</v>
      </c>
      <c r="F326" s="43"/>
      <c r="G326" s="58">
        <v>35</v>
      </c>
      <c r="H326" s="58"/>
      <c r="I326" s="58" t="s">
        <v>387</v>
      </c>
      <c r="J326" s="43"/>
      <c r="K326" s="51">
        <v>2000</v>
      </c>
      <c r="L326" s="44">
        <f t="shared" si="32"/>
        <v>0</v>
      </c>
      <c r="M326" s="19">
        <f t="shared" si="32"/>
        <v>0</v>
      </c>
      <c r="N326" s="19">
        <f t="shared" si="32"/>
        <v>0</v>
      </c>
      <c r="O326" s="20">
        <f t="shared" si="31"/>
        <v>0</v>
      </c>
      <c r="P326" s="45"/>
      <c r="Q326" s="45"/>
    </row>
    <row r="327" spans="1:17">
      <c r="A327" s="156" t="s">
        <v>614</v>
      </c>
      <c r="B327" s="243">
        <v>0</v>
      </c>
      <c r="C327" s="78">
        <v>1700</v>
      </c>
      <c r="D327" s="43">
        <v>1100</v>
      </c>
      <c r="E327" s="97">
        <v>1900</v>
      </c>
      <c r="F327" s="43">
        <v>500</v>
      </c>
      <c r="G327" s="58">
        <v>35</v>
      </c>
      <c r="H327" s="58"/>
      <c r="I327" s="58" t="s">
        <v>387</v>
      </c>
      <c r="J327" s="43"/>
      <c r="K327" s="51">
        <v>2000</v>
      </c>
      <c r="L327" s="44">
        <f t="shared" si="32"/>
        <v>0</v>
      </c>
      <c r="M327" s="19">
        <f t="shared" si="32"/>
        <v>0</v>
      </c>
      <c r="N327" s="19">
        <f t="shared" si="32"/>
        <v>0</v>
      </c>
      <c r="O327" s="20">
        <f t="shared" si="31"/>
        <v>0</v>
      </c>
      <c r="P327" s="45"/>
      <c r="Q327" s="45" t="s">
        <v>346</v>
      </c>
    </row>
    <row r="328" spans="1:17" ht="15.75" thickBot="1">
      <c r="A328" s="157" t="s">
        <v>615</v>
      </c>
      <c r="B328" s="244">
        <v>0</v>
      </c>
      <c r="C328" s="79">
        <v>3300</v>
      </c>
      <c r="D328" s="47">
        <v>1600</v>
      </c>
      <c r="E328" s="98">
        <v>7000</v>
      </c>
      <c r="F328" s="47">
        <v>3000</v>
      </c>
      <c r="G328" s="57">
        <v>35</v>
      </c>
      <c r="H328" s="57"/>
      <c r="I328" s="57" t="s">
        <v>387</v>
      </c>
      <c r="J328" s="47"/>
      <c r="K328" s="51">
        <v>2000</v>
      </c>
      <c r="L328" s="48">
        <f t="shared" si="32"/>
        <v>0</v>
      </c>
      <c r="M328" s="21">
        <f t="shared" si="32"/>
        <v>0</v>
      </c>
      <c r="N328" s="21">
        <f t="shared" si="32"/>
        <v>0</v>
      </c>
      <c r="O328" s="22">
        <f t="shared" si="31"/>
        <v>0</v>
      </c>
      <c r="P328" s="49"/>
      <c r="Q328" s="49" t="s">
        <v>346</v>
      </c>
    </row>
    <row r="329" spans="1:17">
      <c r="A329" s="152" t="s">
        <v>680</v>
      </c>
      <c r="B329" s="242">
        <v>0</v>
      </c>
      <c r="C329" s="37">
        <v>1520</v>
      </c>
      <c r="D329" s="38">
        <v>1040</v>
      </c>
      <c r="E329" s="50">
        <v>970</v>
      </c>
      <c r="F329" s="38"/>
      <c r="G329" s="68">
        <v>30</v>
      </c>
      <c r="H329" s="68">
        <v>60</v>
      </c>
      <c r="I329" s="68" t="s">
        <v>384</v>
      </c>
      <c r="J329" s="38"/>
      <c r="K329" s="50">
        <v>2000</v>
      </c>
      <c r="L329" s="40">
        <f t="shared" si="28"/>
        <v>0</v>
      </c>
      <c r="M329" s="40">
        <f t="shared" si="29"/>
        <v>0</v>
      </c>
      <c r="N329" s="40">
        <f t="shared" si="30"/>
        <v>0</v>
      </c>
      <c r="O329" s="40">
        <f t="shared" si="27"/>
        <v>0</v>
      </c>
      <c r="P329" s="36"/>
      <c r="Q329" s="42"/>
    </row>
    <row r="330" spans="1:17">
      <c r="A330" s="153" t="s">
        <v>338</v>
      </c>
      <c r="B330" s="243">
        <v>0</v>
      </c>
      <c r="C330" s="60">
        <v>1900</v>
      </c>
      <c r="D330" s="58">
        <v>1300</v>
      </c>
      <c r="E330" s="99">
        <v>1200</v>
      </c>
      <c r="F330" s="58"/>
      <c r="G330" s="58">
        <v>105</v>
      </c>
      <c r="H330" s="58"/>
      <c r="I330" s="58" t="s">
        <v>384</v>
      </c>
      <c r="J330" s="58">
        <v>55</v>
      </c>
      <c r="K330" s="51">
        <v>2000</v>
      </c>
      <c r="L330" s="19">
        <f t="shared" si="28"/>
        <v>0</v>
      </c>
      <c r="M330" s="19">
        <f t="shared" si="29"/>
        <v>0</v>
      </c>
      <c r="N330" s="19">
        <f t="shared" si="30"/>
        <v>0</v>
      </c>
      <c r="O330" s="19">
        <f t="shared" si="27"/>
        <v>0</v>
      </c>
      <c r="P330" s="46"/>
      <c r="Q330" s="45"/>
    </row>
    <row r="331" spans="1:17" ht="15.75" thickBot="1">
      <c r="A331" s="615" t="s">
        <v>339</v>
      </c>
      <c r="B331" s="244">
        <v>0</v>
      </c>
      <c r="C331" s="61">
        <v>1500</v>
      </c>
      <c r="D331" s="57">
        <v>1800</v>
      </c>
      <c r="E331" s="100">
        <v>2200</v>
      </c>
      <c r="F331" s="57">
        <v>520</v>
      </c>
      <c r="G331" s="57">
        <v>105</v>
      </c>
      <c r="H331" s="57"/>
      <c r="I331" s="57" t="s">
        <v>384</v>
      </c>
      <c r="J331" s="57"/>
      <c r="K331" s="51">
        <v>2000</v>
      </c>
      <c r="L331" s="21">
        <f t="shared" si="28"/>
        <v>0</v>
      </c>
      <c r="M331" s="21">
        <f t="shared" si="29"/>
        <v>0</v>
      </c>
      <c r="N331" s="21">
        <f t="shared" si="30"/>
        <v>0</v>
      </c>
      <c r="O331" s="21">
        <f t="shared" si="27"/>
        <v>0</v>
      </c>
      <c r="P331" s="53"/>
      <c r="Q331" s="49" t="s">
        <v>332</v>
      </c>
    </row>
    <row r="332" spans="1:17">
      <c r="A332" s="152" t="s">
        <v>681</v>
      </c>
      <c r="B332" s="242">
        <v>0</v>
      </c>
      <c r="C332" s="37">
        <v>350</v>
      </c>
      <c r="D332" s="38">
        <v>790</v>
      </c>
      <c r="E332" s="50">
        <v>840</v>
      </c>
      <c r="F332" s="38">
        <v>650</v>
      </c>
      <c r="G332" s="68">
        <v>20</v>
      </c>
      <c r="H332" s="68">
        <v>50</v>
      </c>
      <c r="I332" s="68" t="s">
        <v>387</v>
      </c>
      <c r="J332" s="38"/>
      <c r="K332" s="50">
        <v>3000</v>
      </c>
      <c r="L332" s="40">
        <f t="shared" si="28"/>
        <v>0</v>
      </c>
      <c r="M332" s="40">
        <f t="shared" si="29"/>
        <v>0</v>
      </c>
      <c r="N332" s="40">
        <f t="shared" si="30"/>
        <v>0</v>
      </c>
      <c r="O332" s="40">
        <f t="shared" si="27"/>
        <v>0</v>
      </c>
      <c r="P332" s="36"/>
      <c r="Q332" s="42" t="s">
        <v>243</v>
      </c>
    </row>
    <row r="333" spans="1:17">
      <c r="A333" s="153" t="s">
        <v>340</v>
      </c>
      <c r="B333" s="243">
        <v>0</v>
      </c>
      <c r="C333" s="78">
        <v>550</v>
      </c>
      <c r="D333" s="43">
        <v>990</v>
      </c>
      <c r="E333" s="99">
        <v>1040</v>
      </c>
      <c r="F333" s="58">
        <v>325</v>
      </c>
      <c r="G333" s="58">
        <v>45</v>
      </c>
      <c r="H333" s="58"/>
      <c r="I333" s="58" t="s">
        <v>387</v>
      </c>
      <c r="J333" s="58">
        <v>25</v>
      </c>
      <c r="K333" s="51">
        <v>3000</v>
      </c>
      <c r="L333" s="19">
        <f t="shared" si="28"/>
        <v>0</v>
      </c>
      <c r="M333" s="19">
        <f t="shared" si="29"/>
        <v>0</v>
      </c>
      <c r="N333" s="19">
        <f t="shared" si="30"/>
        <v>0</v>
      </c>
      <c r="O333" s="19">
        <f t="shared" si="27"/>
        <v>0</v>
      </c>
      <c r="P333" s="46" t="s">
        <v>76</v>
      </c>
      <c r="Q333" s="45"/>
    </row>
    <row r="334" spans="1:17">
      <c r="A334" s="155" t="s">
        <v>341</v>
      </c>
      <c r="B334" s="243">
        <v>0</v>
      </c>
      <c r="C334" s="78">
        <v>600</v>
      </c>
      <c r="D334" s="58">
        <v>1300</v>
      </c>
      <c r="E334" s="99">
        <v>1500</v>
      </c>
      <c r="F334" s="58">
        <v>600</v>
      </c>
      <c r="G334" s="58">
        <v>45</v>
      </c>
      <c r="H334" s="58"/>
      <c r="I334" s="58" t="s">
        <v>387</v>
      </c>
      <c r="J334" s="58"/>
      <c r="K334" s="51">
        <v>3000</v>
      </c>
      <c r="L334" s="19">
        <f t="shared" si="28"/>
        <v>0</v>
      </c>
      <c r="M334" s="19">
        <f t="shared" si="29"/>
        <v>0</v>
      </c>
      <c r="N334" s="19">
        <f t="shared" si="30"/>
        <v>0</v>
      </c>
      <c r="O334" s="19">
        <f t="shared" si="27"/>
        <v>0</v>
      </c>
      <c r="P334" s="46" t="s">
        <v>76</v>
      </c>
      <c r="Q334" s="45" t="s">
        <v>200</v>
      </c>
    </row>
    <row r="335" spans="1:17">
      <c r="A335" s="155" t="s">
        <v>342</v>
      </c>
      <c r="B335" s="243">
        <v>0</v>
      </c>
      <c r="C335" s="78">
        <v>350</v>
      </c>
      <c r="D335" s="58">
        <v>1290</v>
      </c>
      <c r="E335" s="99">
        <v>1540</v>
      </c>
      <c r="F335" s="58">
        <v>850</v>
      </c>
      <c r="G335" s="58">
        <v>45</v>
      </c>
      <c r="H335" s="58"/>
      <c r="I335" s="58" t="s">
        <v>387</v>
      </c>
      <c r="J335" s="58"/>
      <c r="K335" s="51">
        <v>3000</v>
      </c>
      <c r="L335" s="19">
        <f t="shared" si="28"/>
        <v>0</v>
      </c>
      <c r="M335" s="19">
        <f t="shared" si="29"/>
        <v>0</v>
      </c>
      <c r="N335" s="19">
        <f t="shared" si="30"/>
        <v>0</v>
      </c>
      <c r="O335" s="19">
        <f t="shared" si="27"/>
        <v>0</v>
      </c>
      <c r="P335" s="46" t="s">
        <v>76</v>
      </c>
      <c r="Q335" s="45" t="s">
        <v>229</v>
      </c>
    </row>
    <row r="336" spans="1:17" ht="15.75" thickBot="1">
      <c r="A336" s="616" t="s">
        <v>343</v>
      </c>
      <c r="B336" s="244">
        <v>0</v>
      </c>
      <c r="C336" s="78">
        <v>875</v>
      </c>
      <c r="D336" s="58">
        <v>1975</v>
      </c>
      <c r="E336" s="99">
        <v>2100</v>
      </c>
      <c r="F336" s="58">
        <v>230</v>
      </c>
      <c r="G336" s="58">
        <v>45</v>
      </c>
      <c r="H336" s="58"/>
      <c r="I336" s="58" t="s">
        <v>387</v>
      </c>
      <c r="J336" s="58"/>
      <c r="K336" s="51">
        <v>3000</v>
      </c>
      <c r="L336" s="21">
        <f t="shared" si="28"/>
        <v>0</v>
      </c>
      <c r="M336" s="21">
        <f t="shared" si="29"/>
        <v>0</v>
      </c>
      <c r="N336" s="21">
        <f t="shared" si="30"/>
        <v>0</v>
      </c>
      <c r="O336" s="21">
        <f t="shared" si="27"/>
        <v>0</v>
      </c>
      <c r="P336" s="53" t="s">
        <v>76</v>
      </c>
      <c r="Q336" s="49" t="s">
        <v>308</v>
      </c>
    </row>
    <row r="337" spans="1:17">
      <c r="A337" s="152" t="s">
        <v>682</v>
      </c>
      <c r="B337" s="242">
        <v>0</v>
      </c>
      <c r="C337" s="37">
        <v>1850</v>
      </c>
      <c r="D337" s="38">
        <v>950</v>
      </c>
      <c r="E337" s="50">
        <v>2000</v>
      </c>
      <c r="F337" s="38"/>
      <c r="G337" s="68">
        <v>30</v>
      </c>
      <c r="H337" s="68">
        <v>80</v>
      </c>
      <c r="I337" s="68" t="s">
        <v>388</v>
      </c>
      <c r="J337" s="38"/>
      <c r="K337" s="50">
        <v>2000</v>
      </c>
      <c r="L337" s="40">
        <f t="shared" si="28"/>
        <v>0</v>
      </c>
      <c r="M337" s="40">
        <f t="shared" si="29"/>
        <v>0</v>
      </c>
      <c r="N337" s="40">
        <f t="shared" si="30"/>
        <v>0</v>
      </c>
      <c r="O337" s="40">
        <f t="shared" si="27"/>
        <v>0</v>
      </c>
      <c r="P337" s="36"/>
      <c r="Q337" s="42"/>
    </row>
    <row r="338" spans="1:17">
      <c r="A338" s="153" t="s">
        <v>344</v>
      </c>
      <c r="B338" s="243">
        <v>0</v>
      </c>
      <c r="C338" s="60">
        <v>2300</v>
      </c>
      <c r="D338" s="58">
        <v>1200</v>
      </c>
      <c r="E338" s="99">
        <v>2500</v>
      </c>
      <c r="F338" s="58"/>
      <c r="G338" s="58">
        <v>95</v>
      </c>
      <c r="H338" s="58"/>
      <c r="I338" s="58" t="s">
        <v>388</v>
      </c>
      <c r="J338" s="58">
        <v>45</v>
      </c>
      <c r="K338" s="51">
        <v>2000</v>
      </c>
      <c r="L338" s="19">
        <f t="shared" si="28"/>
        <v>0</v>
      </c>
      <c r="M338" s="19">
        <f t="shared" si="29"/>
        <v>0</v>
      </c>
      <c r="N338" s="19">
        <f t="shared" si="30"/>
        <v>0</v>
      </c>
      <c r="O338" s="19">
        <f t="shared" si="27"/>
        <v>0</v>
      </c>
      <c r="P338" s="46"/>
      <c r="Q338" s="45"/>
    </row>
    <row r="339" spans="1:17">
      <c r="A339" s="153" t="s">
        <v>345</v>
      </c>
      <c r="B339" s="243">
        <v>0</v>
      </c>
      <c r="C339" s="60">
        <v>2000</v>
      </c>
      <c r="D339" s="58">
        <v>1100</v>
      </c>
      <c r="E339" s="99">
        <v>2500</v>
      </c>
      <c r="F339" s="58">
        <v>420</v>
      </c>
      <c r="G339" s="58">
        <v>95</v>
      </c>
      <c r="H339" s="58"/>
      <c r="I339" s="58" t="s">
        <v>388</v>
      </c>
      <c r="J339" s="58"/>
      <c r="K339" s="51">
        <v>2000</v>
      </c>
      <c r="L339" s="19">
        <f t="shared" si="28"/>
        <v>0</v>
      </c>
      <c r="M339" s="19">
        <f t="shared" si="29"/>
        <v>0</v>
      </c>
      <c r="N339" s="19">
        <f t="shared" si="30"/>
        <v>0</v>
      </c>
      <c r="O339" s="19">
        <f t="shared" ref="O339:O353" si="33">$B339*K339</f>
        <v>0</v>
      </c>
      <c r="P339" s="46" t="s">
        <v>76</v>
      </c>
      <c r="Q339" s="45" t="s">
        <v>346</v>
      </c>
    </row>
    <row r="340" spans="1:17">
      <c r="A340" s="153" t="s">
        <v>347</v>
      </c>
      <c r="B340" s="243">
        <v>0</v>
      </c>
      <c r="C340" s="60">
        <v>2200</v>
      </c>
      <c r="D340" s="58">
        <v>1200</v>
      </c>
      <c r="E340" s="99">
        <v>2600</v>
      </c>
      <c r="F340" s="58"/>
      <c r="G340" s="58">
        <v>95</v>
      </c>
      <c r="H340" s="58"/>
      <c r="I340" s="58" t="s">
        <v>388</v>
      </c>
      <c r="J340" s="58"/>
      <c r="K340" s="51">
        <v>2000</v>
      </c>
      <c r="L340" s="19">
        <f t="shared" si="28"/>
        <v>0</v>
      </c>
      <c r="M340" s="19">
        <f t="shared" si="29"/>
        <v>0</v>
      </c>
      <c r="N340" s="19">
        <f t="shared" si="30"/>
        <v>0</v>
      </c>
      <c r="O340" s="19">
        <f t="shared" si="33"/>
        <v>0</v>
      </c>
      <c r="P340" s="46"/>
      <c r="Q340" s="45"/>
    </row>
    <row r="341" spans="1:17">
      <c r="A341" s="155" t="s">
        <v>348</v>
      </c>
      <c r="B341" s="243">
        <v>0</v>
      </c>
      <c r="C341" s="60">
        <v>4000</v>
      </c>
      <c r="D341" s="58">
        <v>1500</v>
      </c>
      <c r="E341" s="99">
        <v>3000</v>
      </c>
      <c r="F341" s="58"/>
      <c r="G341" s="58">
        <v>95</v>
      </c>
      <c r="H341" s="58"/>
      <c r="I341" s="58" t="s">
        <v>388</v>
      </c>
      <c r="J341" s="58"/>
      <c r="K341" s="51">
        <v>2000</v>
      </c>
      <c r="L341" s="19">
        <f t="shared" si="28"/>
        <v>0</v>
      </c>
      <c r="M341" s="19">
        <f t="shared" si="29"/>
        <v>0</v>
      </c>
      <c r="N341" s="19">
        <f t="shared" si="30"/>
        <v>0</v>
      </c>
      <c r="O341" s="19">
        <f t="shared" si="33"/>
        <v>0</v>
      </c>
      <c r="P341" s="46"/>
      <c r="Q341" s="45"/>
    </row>
    <row r="342" spans="1:17">
      <c r="A342" s="155" t="s">
        <v>349</v>
      </c>
      <c r="B342" s="243">
        <v>0</v>
      </c>
      <c r="C342" s="60">
        <v>3238</v>
      </c>
      <c r="D342" s="58">
        <v>1663</v>
      </c>
      <c r="E342" s="99">
        <v>3500</v>
      </c>
      <c r="F342" s="58"/>
      <c r="G342" s="58">
        <v>95</v>
      </c>
      <c r="H342" s="58"/>
      <c r="I342" s="58" t="s">
        <v>388</v>
      </c>
      <c r="J342" s="58"/>
      <c r="K342" s="51">
        <v>2000</v>
      </c>
      <c r="L342" s="19">
        <f t="shared" si="28"/>
        <v>0</v>
      </c>
      <c r="M342" s="19">
        <f t="shared" si="29"/>
        <v>0</v>
      </c>
      <c r="N342" s="19">
        <f t="shared" si="30"/>
        <v>0</v>
      </c>
      <c r="O342" s="19">
        <f t="shared" si="33"/>
        <v>0</v>
      </c>
      <c r="P342" s="46"/>
      <c r="Q342" s="45"/>
    </row>
    <row r="343" spans="1:17">
      <c r="A343" s="155" t="s">
        <v>350</v>
      </c>
      <c r="B343" s="243">
        <v>0</v>
      </c>
      <c r="C343" s="60">
        <v>3000</v>
      </c>
      <c r="D343" s="58">
        <v>2000</v>
      </c>
      <c r="E343" s="99">
        <v>3000</v>
      </c>
      <c r="F343" s="58"/>
      <c r="G343" s="58">
        <v>95</v>
      </c>
      <c r="H343" s="58"/>
      <c r="I343" s="58" t="s">
        <v>388</v>
      </c>
      <c r="J343" s="58"/>
      <c r="K343" s="51">
        <v>2000</v>
      </c>
      <c r="L343" s="19">
        <f t="shared" si="28"/>
        <v>0</v>
      </c>
      <c r="M343" s="19">
        <f t="shared" si="29"/>
        <v>0</v>
      </c>
      <c r="N343" s="19">
        <f t="shared" si="30"/>
        <v>0</v>
      </c>
      <c r="O343" s="19">
        <f t="shared" si="33"/>
        <v>0</v>
      </c>
      <c r="P343" s="46" t="s">
        <v>79</v>
      </c>
      <c r="Q343" s="45"/>
    </row>
    <row r="344" spans="1:17">
      <c r="A344" s="156" t="s">
        <v>351</v>
      </c>
      <c r="B344" s="243">
        <v>0</v>
      </c>
      <c r="C344" s="60">
        <v>4500</v>
      </c>
      <c r="D344" s="58">
        <v>2500</v>
      </c>
      <c r="E344" s="99">
        <v>5000</v>
      </c>
      <c r="F344" s="58"/>
      <c r="G344" s="58">
        <v>95</v>
      </c>
      <c r="H344" s="58"/>
      <c r="I344" s="58" t="s">
        <v>388</v>
      </c>
      <c r="J344" s="58"/>
      <c r="K344" s="51">
        <v>2000</v>
      </c>
      <c r="L344" s="19">
        <f t="shared" si="28"/>
        <v>0</v>
      </c>
      <c r="M344" s="19">
        <f t="shared" si="29"/>
        <v>0</v>
      </c>
      <c r="N344" s="19">
        <f t="shared" si="30"/>
        <v>0</v>
      </c>
      <c r="O344" s="19">
        <f t="shared" si="33"/>
        <v>0</v>
      </c>
      <c r="P344" s="46"/>
      <c r="Q344" s="45"/>
    </row>
    <row r="345" spans="1:17" ht="15.75" thickBot="1">
      <c r="A345" s="169" t="s">
        <v>352</v>
      </c>
      <c r="B345" s="244">
        <v>0</v>
      </c>
      <c r="C345" s="61">
        <v>9750</v>
      </c>
      <c r="D345" s="57">
        <v>4500</v>
      </c>
      <c r="E345" s="100">
        <v>10000</v>
      </c>
      <c r="F345" s="57"/>
      <c r="G345" s="57">
        <v>95</v>
      </c>
      <c r="H345" s="57"/>
      <c r="I345" s="57" t="s">
        <v>388</v>
      </c>
      <c r="J345" s="57"/>
      <c r="K345" s="51">
        <v>2000</v>
      </c>
      <c r="L345" s="21">
        <f t="shared" si="28"/>
        <v>0</v>
      </c>
      <c r="M345" s="21">
        <f t="shared" si="29"/>
        <v>0</v>
      </c>
      <c r="N345" s="21">
        <f t="shared" si="30"/>
        <v>0</v>
      </c>
      <c r="O345" s="21">
        <f t="shared" si="33"/>
        <v>0</v>
      </c>
      <c r="P345" s="53" t="s">
        <v>92</v>
      </c>
      <c r="Q345" s="49"/>
    </row>
    <row r="346" spans="1:17">
      <c r="A346" s="152" t="s">
        <v>683</v>
      </c>
      <c r="B346" s="242">
        <v>0</v>
      </c>
      <c r="C346" s="37">
        <v>14600</v>
      </c>
      <c r="D346" s="38">
        <v>14000</v>
      </c>
      <c r="E346" s="50">
        <v>10500</v>
      </c>
      <c r="F346" s="38"/>
      <c r="G346" s="68">
        <v>200</v>
      </c>
      <c r="H346" s="68">
        <v>500</v>
      </c>
      <c r="I346" s="68" t="s">
        <v>392</v>
      </c>
      <c r="J346" s="38"/>
      <c r="K346" s="50">
        <v>40000</v>
      </c>
      <c r="L346" s="40">
        <f t="shared" si="28"/>
        <v>0</v>
      </c>
      <c r="M346" s="40">
        <f t="shared" si="29"/>
        <v>0</v>
      </c>
      <c r="N346" s="40">
        <f t="shared" si="30"/>
        <v>0</v>
      </c>
      <c r="O346" s="40">
        <f t="shared" si="33"/>
        <v>0</v>
      </c>
      <c r="P346" s="36"/>
      <c r="Q346" s="42"/>
    </row>
    <row r="347" spans="1:17">
      <c r="A347" s="154" t="s">
        <v>353</v>
      </c>
      <c r="B347" s="243">
        <v>0</v>
      </c>
      <c r="C347" s="60">
        <v>16600</v>
      </c>
      <c r="D347" s="58">
        <v>18000</v>
      </c>
      <c r="E347" s="99">
        <v>11700</v>
      </c>
      <c r="F347" s="58"/>
      <c r="G347" s="58">
        <v>500</v>
      </c>
      <c r="H347" s="58"/>
      <c r="I347" s="58" t="s">
        <v>392</v>
      </c>
      <c r="J347" s="58">
        <v>350</v>
      </c>
      <c r="K347" s="51">
        <v>40000</v>
      </c>
      <c r="L347" s="19">
        <f t="shared" si="28"/>
        <v>0</v>
      </c>
      <c r="M347" s="19">
        <f t="shared" si="29"/>
        <v>0</v>
      </c>
      <c r="N347" s="19">
        <f t="shared" si="30"/>
        <v>0</v>
      </c>
      <c r="O347" s="19">
        <f t="shared" si="33"/>
        <v>0</v>
      </c>
      <c r="P347" s="46"/>
      <c r="Q347" s="26"/>
    </row>
    <row r="348" spans="1:17">
      <c r="A348" s="154" t="s">
        <v>354</v>
      </c>
      <c r="B348" s="243">
        <v>0</v>
      </c>
      <c r="C348" s="60">
        <v>18000</v>
      </c>
      <c r="D348" s="58">
        <v>17500</v>
      </c>
      <c r="E348" s="99">
        <v>11000</v>
      </c>
      <c r="F348" s="58"/>
      <c r="G348" s="58">
        <v>500</v>
      </c>
      <c r="H348" s="58"/>
      <c r="I348" s="58" t="s">
        <v>392</v>
      </c>
      <c r="J348" s="58"/>
      <c r="K348" s="51">
        <v>40000</v>
      </c>
      <c r="L348" s="19">
        <f t="shared" si="28"/>
        <v>0</v>
      </c>
      <c r="M348" s="19">
        <f t="shared" si="29"/>
        <v>0</v>
      </c>
      <c r="N348" s="19">
        <f t="shared" si="30"/>
        <v>0</v>
      </c>
      <c r="O348" s="19">
        <f t="shared" si="33"/>
        <v>0</v>
      </c>
      <c r="P348" s="46"/>
      <c r="Q348" s="26"/>
    </row>
    <row r="349" spans="1:17">
      <c r="A349" s="153" t="s">
        <v>355</v>
      </c>
      <c r="B349" s="243">
        <v>0</v>
      </c>
      <c r="C349" s="60">
        <v>16000</v>
      </c>
      <c r="D349" s="58">
        <v>17000</v>
      </c>
      <c r="E349" s="99">
        <v>10305</v>
      </c>
      <c r="F349" s="58"/>
      <c r="G349" s="58">
        <v>500</v>
      </c>
      <c r="H349" s="58"/>
      <c r="I349" s="58" t="s">
        <v>392</v>
      </c>
      <c r="J349" s="58"/>
      <c r="K349" s="51">
        <v>40000</v>
      </c>
      <c r="L349" s="19">
        <f t="shared" si="28"/>
        <v>0</v>
      </c>
      <c r="M349" s="19">
        <f t="shared" si="29"/>
        <v>0</v>
      </c>
      <c r="N349" s="19">
        <f t="shared" si="30"/>
        <v>0</v>
      </c>
      <c r="O349" s="19">
        <f t="shared" si="33"/>
        <v>0</v>
      </c>
      <c r="P349" s="46" t="s">
        <v>76</v>
      </c>
      <c r="Q349" s="26"/>
    </row>
    <row r="350" spans="1:17">
      <c r="A350" s="158" t="s">
        <v>356</v>
      </c>
      <c r="B350" s="243">
        <v>0</v>
      </c>
      <c r="C350" s="60">
        <v>25000</v>
      </c>
      <c r="D350" s="58">
        <v>30000</v>
      </c>
      <c r="E350" s="99">
        <v>12000</v>
      </c>
      <c r="F350" s="58"/>
      <c r="G350" s="58">
        <v>500</v>
      </c>
      <c r="H350" s="58"/>
      <c r="I350" s="58" t="s">
        <v>392</v>
      </c>
      <c r="J350" s="58"/>
      <c r="K350" s="51">
        <v>40000</v>
      </c>
      <c r="L350" s="19">
        <f t="shared" si="28"/>
        <v>0</v>
      </c>
      <c r="M350" s="19">
        <f t="shared" si="29"/>
        <v>0</v>
      </c>
      <c r="N350" s="19">
        <f t="shared" si="30"/>
        <v>0</v>
      </c>
      <c r="O350" s="19">
        <f t="shared" si="33"/>
        <v>0</v>
      </c>
      <c r="P350" s="46"/>
      <c r="Q350" s="26"/>
    </row>
    <row r="351" spans="1:17">
      <c r="A351" s="158" t="s">
        <v>357</v>
      </c>
      <c r="B351" s="243">
        <v>0</v>
      </c>
      <c r="C351" s="60">
        <v>26000</v>
      </c>
      <c r="D351" s="58">
        <v>24500</v>
      </c>
      <c r="E351" s="99">
        <v>15000</v>
      </c>
      <c r="F351" s="58"/>
      <c r="G351" s="58">
        <v>500</v>
      </c>
      <c r="H351" s="58"/>
      <c r="I351" s="58" t="s">
        <v>392</v>
      </c>
      <c r="J351" s="58"/>
      <c r="K351" s="51">
        <v>40000</v>
      </c>
      <c r="L351" s="19">
        <f t="shared" si="28"/>
        <v>0</v>
      </c>
      <c r="M351" s="19">
        <f t="shared" si="29"/>
        <v>0</v>
      </c>
      <c r="N351" s="19">
        <f t="shared" si="30"/>
        <v>0</v>
      </c>
      <c r="O351" s="19">
        <f t="shared" si="33"/>
        <v>0</v>
      </c>
      <c r="P351" s="46"/>
      <c r="Q351" s="26"/>
    </row>
    <row r="352" spans="1:17">
      <c r="A352" s="159" t="s">
        <v>358</v>
      </c>
      <c r="B352" s="243">
        <v>0</v>
      </c>
      <c r="C352" s="60">
        <v>40000</v>
      </c>
      <c r="D352" s="58">
        <v>35000</v>
      </c>
      <c r="E352" s="99">
        <v>20000</v>
      </c>
      <c r="F352" s="58"/>
      <c r="G352" s="58">
        <v>500</v>
      </c>
      <c r="H352" s="58"/>
      <c r="I352" s="58" t="s">
        <v>392</v>
      </c>
      <c r="J352" s="58"/>
      <c r="K352" s="51">
        <v>40000</v>
      </c>
      <c r="L352" s="19">
        <f t="shared" si="28"/>
        <v>0</v>
      </c>
      <c r="M352" s="19">
        <f t="shared" si="29"/>
        <v>0</v>
      </c>
      <c r="N352" s="19">
        <f t="shared" si="30"/>
        <v>0</v>
      </c>
      <c r="O352" s="19">
        <f t="shared" si="33"/>
        <v>0</v>
      </c>
      <c r="P352" s="46" t="s">
        <v>76</v>
      </c>
      <c r="Q352" s="26"/>
    </row>
    <row r="353" spans="1:17">
      <c r="A353" s="159" t="s">
        <v>359</v>
      </c>
      <c r="B353" s="243">
        <v>0</v>
      </c>
      <c r="C353" s="60">
        <v>36500</v>
      </c>
      <c r="D353" s="58">
        <v>35000</v>
      </c>
      <c r="E353" s="99">
        <v>21750</v>
      </c>
      <c r="F353" s="58"/>
      <c r="G353" s="58">
        <v>500</v>
      </c>
      <c r="H353" s="58"/>
      <c r="I353" s="58" t="s">
        <v>392</v>
      </c>
      <c r="J353" s="58"/>
      <c r="K353" s="51">
        <v>40000</v>
      </c>
      <c r="L353" s="19">
        <f t="shared" si="28"/>
        <v>0</v>
      </c>
      <c r="M353" s="19">
        <f t="shared" si="29"/>
        <v>0</v>
      </c>
      <c r="N353" s="19">
        <f t="shared" si="30"/>
        <v>0</v>
      </c>
      <c r="O353" s="19">
        <f t="shared" si="33"/>
        <v>0</v>
      </c>
      <c r="P353" s="46"/>
      <c r="Q353" s="26"/>
    </row>
    <row r="354" spans="1:17" ht="15.75" thickBot="1">
      <c r="A354" s="173" t="s">
        <v>360</v>
      </c>
      <c r="B354" s="243">
        <v>0</v>
      </c>
      <c r="C354" s="60">
        <v>70000</v>
      </c>
      <c r="D354" s="58">
        <v>60000</v>
      </c>
      <c r="E354" s="99">
        <v>50000</v>
      </c>
      <c r="F354" s="58"/>
      <c r="G354" s="58">
        <v>500</v>
      </c>
      <c r="H354" s="58"/>
      <c r="I354" s="58" t="s">
        <v>392</v>
      </c>
      <c r="J354" s="58"/>
      <c r="K354" s="51">
        <v>40000</v>
      </c>
      <c r="L354" s="19">
        <f t="shared" ref="L354:N356" si="34">$B354*C354</f>
        <v>0</v>
      </c>
      <c r="M354" s="19">
        <f t="shared" si="34"/>
        <v>0</v>
      </c>
      <c r="N354" s="19">
        <f t="shared" si="34"/>
        <v>0</v>
      </c>
      <c r="O354" s="19">
        <f>$B354*K354</f>
        <v>0</v>
      </c>
      <c r="P354" s="46" t="s">
        <v>310</v>
      </c>
      <c r="Q354" s="26"/>
    </row>
    <row r="355" spans="1:17" ht="15.75" thickBot="1">
      <c r="A355" s="152" t="s">
        <v>684</v>
      </c>
      <c r="B355" s="242">
        <v>0</v>
      </c>
      <c r="C355" s="37">
        <v>120</v>
      </c>
      <c r="D355" s="38">
        <v>80</v>
      </c>
      <c r="E355" s="50">
        <v>80</v>
      </c>
      <c r="F355" s="38"/>
      <c r="G355" s="38">
        <v>4</v>
      </c>
      <c r="H355" s="38"/>
      <c r="I355" s="38" t="s">
        <v>384</v>
      </c>
      <c r="J355" s="38"/>
      <c r="K355" s="50">
        <v>800</v>
      </c>
      <c r="L355" s="40">
        <f t="shared" si="34"/>
        <v>0</v>
      </c>
      <c r="M355" s="40">
        <f t="shared" si="34"/>
        <v>0</v>
      </c>
      <c r="N355" s="40">
        <f t="shared" si="34"/>
        <v>0</v>
      </c>
      <c r="O355" s="40">
        <f>$B355*K355</f>
        <v>0</v>
      </c>
      <c r="P355" s="55"/>
      <c r="Q355" s="42"/>
    </row>
    <row r="356" spans="1:17" ht="15.75" thickBot="1">
      <c r="A356" s="35" t="s">
        <v>685</v>
      </c>
      <c r="B356" s="259">
        <v>0</v>
      </c>
      <c r="C356" s="178">
        <v>100000</v>
      </c>
      <c r="D356" s="179">
        <v>100000</v>
      </c>
      <c r="E356" s="180">
        <v>100000</v>
      </c>
      <c r="F356" s="176"/>
      <c r="G356" s="176">
        <v>800</v>
      </c>
      <c r="H356" s="176"/>
      <c r="I356" s="176" t="s">
        <v>405</v>
      </c>
      <c r="J356" s="176"/>
      <c r="K356" s="177">
        <v>500000</v>
      </c>
      <c r="L356" s="40">
        <f t="shared" si="34"/>
        <v>0</v>
      </c>
      <c r="M356" s="40">
        <f t="shared" si="34"/>
        <v>0</v>
      </c>
      <c r="N356" s="40">
        <f t="shared" si="34"/>
        <v>0</v>
      </c>
      <c r="O356" s="40">
        <f>$B356*K356</f>
        <v>0</v>
      </c>
      <c r="P356" s="18"/>
      <c r="Q356" s="59"/>
    </row>
    <row r="357" spans="1:17" ht="15.75" thickBot="1">
      <c r="B357" s="17">
        <f>SUM(B3:B356)</f>
        <v>0</v>
      </c>
      <c r="C357" s="24"/>
      <c r="D357" s="25"/>
      <c r="E357" s="25"/>
      <c r="F357" s="13"/>
      <c r="G357" s="25"/>
      <c r="H357" s="25"/>
      <c r="I357" s="25"/>
      <c r="J357" s="25"/>
      <c r="K357" s="26"/>
      <c r="L357" s="174">
        <f>SUM(L3:L356)</f>
        <v>0</v>
      </c>
      <c r="M357" s="23">
        <f>SUM(M3:M356)</f>
        <v>0</v>
      </c>
      <c r="N357" s="23">
        <f>SUM(N3:N356)</f>
        <v>0</v>
      </c>
      <c r="O357" s="175">
        <f>SUM(O3:O356)</f>
        <v>0</v>
      </c>
      <c r="P357" s="25"/>
      <c r="Q357" s="25"/>
    </row>
    <row r="358" spans="1:17" ht="15.75" thickBot="1">
      <c r="C358" s="25"/>
      <c r="D358" s="25"/>
      <c r="E358" s="25"/>
      <c r="F358" s="13"/>
      <c r="G358" s="25"/>
      <c r="H358" s="25"/>
      <c r="I358" s="25"/>
      <c r="J358" s="25"/>
      <c r="K358" s="25"/>
      <c r="P358" s="25"/>
      <c r="Q358" s="25"/>
    </row>
    <row r="359" spans="1:17" ht="15.75" thickBot="1">
      <c r="M359" s="64" t="s">
        <v>418</v>
      </c>
      <c r="N359" s="93" t="e">
        <f>N357/B357</f>
        <v>#DIV/0!</v>
      </c>
      <c r="P359" s="25"/>
      <c r="Q359" s="2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25"/>
  <sheetViews>
    <sheetView zoomScale="85" zoomScaleNormal="85" workbookViewId="0">
      <selection activeCell="Y8" sqref="Y8"/>
    </sheetView>
  </sheetViews>
  <sheetFormatPr baseColWidth="10" defaultRowHeight="15"/>
  <cols>
    <col min="1" max="1" width="25.28515625" customWidth="1"/>
    <col min="2" max="2" width="5.85546875" customWidth="1"/>
    <col min="3" max="3" width="6.85546875" hidden="1" customWidth="1"/>
    <col min="4" max="5" width="7.140625" hidden="1" customWidth="1"/>
    <col min="6" max="6" width="8.85546875" hidden="1" customWidth="1"/>
    <col min="7" max="7" width="7.140625" hidden="1" customWidth="1"/>
    <col min="8" max="8" width="7.5703125" style="90" hidden="1" customWidth="1"/>
    <col min="9" max="9" width="8" style="107" hidden="1" customWidth="1"/>
    <col min="10" max="10" width="6.5703125" style="90" hidden="1" customWidth="1"/>
    <col min="11" max="11" width="6.5703125" style="519" hidden="1" customWidth="1"/>
    <col min="12" max="12" width="6.5703125" style="524" hidden="1" customWidth="1"/>
    <col min="13" max="13" width="2.28515625" customWidth="1"/>
    <col min="14" max="14" width="8.5703125" customWidth="1"/>
    <col min="15" max="15" width="11.7109375" bestFit="1" customWidth="1"/>
    <col min="21" max="21" width="0" style="90" hidden="1" customWidth="1"/>
    <col min="22" max="22" width="0" style="519" hidden="1" customWidth="1"/>
    <col min="23" max="23" width="11.42578125" style="29"/>
  </cols>
  <sheetData>
    <row r="1" spans="1:23" ht="21">
      <c r="A1" s="139" t="s">
        <v>477</v>
      </c>
    </row>
    <row r="3" spans="1:23">
      <c r="A3" t="s">
        <v>481</v>
      </c>
      <c r="B3" s="185">
        <v>23</v>
      </c>
    </row>
    <row r="4" spans="1:23">
      <c r="C4" s="556" t="s">
        <v>480</v>
      </c>
      <c r="D4" s="556"/>
      <c r="E4" s="556"/>
      <c r="F4" s="556"/>
      <c r="G4" s="556"/>
      <c r="H4" s="151"/>
      <c r="I4" s="310"/>
      <c r="J4" s="151"/>
      <c r="K4" s="520"/>
      <c r="L4" s="525"/>
      <c r="O4" s="556" t="s">
        <v>630</v>
      </c>
      <c r="P4" s="556"/>
      <c r="Q4" s="556"/>
      <c r="R4" s="556"/>
      <c r="S4" s="556"/>
    </row>
    <row r="5" spans="1:23" ht="30">
      <c r="B5" s="91" t="s">
        <v>629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s="309" t="s">
        <v>726</v>
      </c>
      <c r="I5" s="311" t="s">
        <v>725</v>
      </c>
      <c r="J5" s="308" t="s">
        <v>715</v>
      </c>
      <c r="K5" s="521" t="s">
        <v>815</v>
      </c>
      <c r="L5" s="526" t="s">
        <v>816</v>
      </c>
      <c r="N5" s="91" t="s">
        <v>631</v>
      </c>
      <c r="O5" s="164" t="s">
        <v>2</v>
      </c>
      <c r="P5" s="164" t="s">
        <v>3</v>
      </c>
      <c r="Q5" s="164" t="s">
        <v>4</v>
      </c>
      <c r="R5" s="164" t="s">
        <v>5</v>
      </c>
      <c r="S5" s="164" t="s">
        <v>6</v>
      </c>
      <c r="U5" s="308" t="s">
        <v>715</v>
      </c>
      <c r="V5" s="521" t="s">
        <v>716</v>
      </c>
      <c r="W5" s="307" t="s">
        <v>716</v>
      </c>
    </row>
    <row r="7" spans="1:23">
      <c r="A7" s="142" t="s">
        <v>479</v>
      </c>
      <c r="B7">
        <v>0</v>
      </c>
      <c r="C7" s="63">
        <v>480</v>
      </c>
      <c r="D7" s="63">
        <v>595</v>
      </c>
      <c r="E7" s="63">
        <v>385</v>
      </c>
      <c r="F7" s="63">
        <v>475</v>
      </c>
      <c r="G7" s="63">
        <v>345</v>
      </c>
      <c r="H7" s="304">
        <v>2280</v>
      </c>
      <c r="I7" s="303">
        <f t="shared" ref="I7:I14" si="0">C7+D7+E7+F7+G7</f>
        <v>2280</v>
      </c>
      <c r="J7" s="90">
        <v>0</v>
      </c>
      <c r="K7" s="519">
        <v>0</v>
      </c>
      <c r="L7" s="524">
        <v>0</v>
      </c>
      <c r="N7" s="6">
        <v>0</v>
      </c>
      <c r="O7" s="92">
        <f t="shared" ref="O7:S14" si="1">C7*1.33^($N7)/(1.6^($B$3/2))</f>
        <v>2.157056083093523</v>
      </c>
      <c r="P7" s="92">
        <f t="shared" si="1"/>
        <v>2.6738507696680127</v>
      </c>
      <c r="Q7" s="92">
        <f t="shared" si="1"/>
        <v>1.7301387333145966</v>
      </c>
      <c r="R7" s="92">
        <f t="shared" si="1"/>
        <v>2.1345867488946322</v>
      </c>
      <c r="S7" s="92">
        <f t="shared" si="1"/>
        <v>1.5503840597234695</v>
      </c>
      <c r="U7" s="163">
        <f>(N7+1)*J7</f>
        <v>0</v>
      </c>
      <c r="V7" s="522">
        <f>(N7+1)*K7</f>
        <v>0</v>
      </c>
      <c r="W7" s="320">
        <f>(N7+1)*L7</f>
        <v>0</v>
      </c>
    </row>
    <row r="8" spans="1:23" ht="15.75">
      <c r="A8" s="29" t="s">
        <v>12</v>
      </c>
      <c r="B8" s="140" t="s">
        <v>486</v>
      </c>
      <c r="C8" s="63">
        <v>760</v>
      </c>
      <c r="D8" s="63">
        <v>490</v>
      </c>
      <c r="E8" s="63">
        <v>1160</v>
      </c>
      <c r="F8" s="63">
        <v>2120</v>
      </c>
      <c r="G8" s="63">
        <v>470</v>
      </c>
      <c r="H8" s="305">
        <v>8120</v>
      </c>
      <c r="I8" s="302">
        <f t="shared" si="0"/>
        <v>5000</v>
      </c>
      <c r="J8" s="90">
        <v>12</v>
      </c>
      <c r="K8" s="519">
        <v>10</v>
      </c>
      <c r="L8" s="524">
        <v>25</v>
      </c>
      <c r="N8" s="185">
        <v>36</v>
      </c>
      <c r="O8" s="92">
        <f t="shared" si="1"/>
        <v>98195.78957119392</v>
      </c>
      <c r="P8" s="92">
        <f t="shared" si="1"/>
        <v>63310.443276164493</v>
      </c>
      <c r="Q8" s="92">
        <f t="shared" si="1"/>
        <v>149877.7840823486</v>
      </c>
      <c r="R8" s="92">
        <f t="shared" si="1"/>
        <v>273914.57090911985</v>
      </c>
      <c r="S8" s="92">
        <f t="shared" si="1"/>
        <v>60726.343550606762</v>
      </c>
      <c r="U8" s="163">
        <f t="shared" ref="U8:U76" si="2">N8*J8</f>
        <v>432</v>
      </c>
      <c r="V8" s="522">
        <f t="shared" ref="V8:V76" si="3">N8*K8</f>
        <v>360</v>
      </c>
      <c r="W8" s="320">
        <f>N8*L8</f>
        <v>900</v>
      </c>
    </row>
    <row r="9" spans="1:23" ht="15.75">
      <c r="A9" s="29" t="s">
        <v>17</v>
      </c>
      <c r="B9" s="140" t="s">
        <v>486</v>
      </c>
      <c r="C9" s="63">
        <v>1040</v>
      </c>
      <c r="D9" s="63">
        <v>940</v>
      </c>
      <c r="E9" s="63">
        <v>810</v>
      </c>
      <c r="F9" s="63">
        <v>1420</v>
      </c>
      <c r="G9" s="63">
        <v>790</v>
      </c>
      <c r="H9" s="305">
        <v>22260</v>
      </c>
      <c r="I9" s="302">
        <f t="shared" si="0"/>
        <v>5000</v>
      </c>
      <c r="J9" s="90">
        <v>5</v>
      </c>
      <c r="K9" s="519">
        <v>10</v>
      </c>
      <c r="L9" s="524">
        <v>25</v>
      </c>
      <c r="N9" s="185">
        <v>31</v>
      </c>
      <c r="O9" s="92">
        <f t="shared" si="1"/>
        <v>32288.986151915564</v>
      </c>
      <c r="P9" s="92">
        <f t="shared" si="1"/>
        <v>29184.275945000609</v>
      </c>
      <c r="Q9" s="92">
        <f t="shared" si="1"/>
        <v>25148.152676011159</v>
      </c>
      <c r="R9" s="92">
        <f t="shared" si="1"/>
        <v>44086.884938192401</v>
      </c>
      <c r="S9" s="92">
        <f t="shared" si="1"/>
        <v>24527.210634628169</v>
      </c>
      <c r="U9" s="163">
        <f t="shared" si="2"/>
        <v>155</v>
      </c>
      <c r="V9" s="522">
        <f t="shared" si="3"/>
        <v>310</v>
      </c>
      <c r="W9" s="320">
        <f t="shared" ref="W9:W14" si="4">N9*L9</f>
        <v>775</v>
      </c>
    </row>
    <row r="10" spans="1:23" ht="15.75">
      <c r="A10" s="29" t="s">
        <v>18</v>
      </c>
      <c r="B10" s="140" t="s">
        <v>486</v>
      </c>
      <c r="C10" s="63">
        <v>750</v>
      </c>
      <c r="D10" s="63">
        <v>610</v>
      </c>
      <c r="E10" s="63">
        <v>1450</v>
      </c>
      <c r="F10" s="63">
        <v>1780</v>
      </c>
      <c r="G10" s="63">
        <v>410</v>
      </c>
      <c r="H10" s="305">
        <v>5350</v>
      </c>
      <c r="I10" s="302">
        <f t="shared" si="0"/>
        <v>5000</v>
      </c>
      <c r="J10" s="90">
        <v>8</v>
      </c>
      <c r="K10" s="519">
        <v>10</v>
      </c>
      <c r="L10" s="524">
        <v>25</v>
      </c>
      <c r="N10" s="185">
        <v>40</v>
      </c>
      <c r="O10" s="92">
        <f t="shared" si="1"/>
        <v>303212.50022359402</v>
      </c>
      <c r="P10" s="92">
        <f t="shared" si="1"/>
        <v>246612.83351518979</v>
      </c>
      <c r="Q10" s="92">
        <f t="shared" si="1"/>
        <v>586210.83376561501</v>
      </c>
      <c r="R10" s="92">
        <f t="shared" si="1"/>
        <v>719624.33386399643</v>
      </c>
      <c r="S10" s="92">
        <f t="shared" si="1"/>
        <v>165756.16678889806</v>
      </c>
      <c r="U10" s="163">
        <f t="shared" si="2"/>
        <v>320</v>
      </c>
      <c r="V10" s="522">
        <f t="shared" si="3"/>
        <v>400</v>
      </c>
      <c r="W10" s="320">
        <f t="shared" si="4"/>
        <v>1000</v>
      </c>
    </row>
    <row r="11" spans="1:23" ht="15.75">
      <c r="A11" s="29" t="s">
        <v>714</v>
      </c>
      <c r="B11" s="140" t="s">
        <v>486</v>
      </c>
      <c r="C11" s="63">
        <v>1220</v>
      </c>
      <c r="D11" s="63">
        <v>1270</v>
      </c>
      <c r="E11" s="63">
        <v>1610</v>
      </c>
      <c r="F11" s="63">
        <v>180</v>
      </c>
      <c r="G11" s="63">
        <v>720</v>
      </c>
      <c r="H11" s="305"/>
      <c r="I11" s="302">
        <f t="shared" si="0"/>
        <v>5000</v>
      </c>
      <c r="K11" s="519">
        <v>10</v>
      </c>
      <c r="L11" s="524">
        <v>25</v>
      </c>
      <c r="N11" s="185">
        <v>0</v>
      </c>
      <c r="O11" s="92">
        <f t="shared" si="1"/>
        <v>5.4825175445293706</v>
      </c>
      <c r="P11" s="92">
        <f t="shared" si="1"/>
        <v>5.7072108865182791</v>
      </c>
      <c r="Q11" s="92">
        <f t="shared" si="1"/>
        <v>7.2351256120428582</v>
      </c>
      <c r="R11" s="92">
        <f t="shared" si="1"/>
        <v>0.80889603116007103</v>
      </c>
      <c r="S11" s="92">
        <f t="shared" si="1"/>
        <v>3.2355841246402841</v>
      </c>
      <c r="U11" s="163">
        <f t="shared" si="2"/>
        <v>0</v>
      </c>
      <c r="V11" s="522">
        <f t="shared" si="3"/>
        <v>0</v>
      </c>
      <c r="W11" s="320">
        <f t="shared" si="4"/>
        <v>0</v>
      </c>
    </row>
    <row r="12" spans="1:23">
      <c r="A12" s="29" t="s">
        <v>478</v>
      </c>
      <c r="B12">
        <v>40</v>
      </c>
      <c r="C12" s="63">
        <v>866</v>
      </c>
      <c r="D12" s="63">
        <v>1146</v>
      </c>
      <c r="E12" s="63">
        <v>660</v>
      </c>
      <c r="F12" s="63">
        <v>272</v>
      </c>
      <c r="G12" s="63">
        <v>1662</v>
      </c>
      <c r="H12" s="305">
        <v>4606</v>
      </c>
      <c r="I12" s="302">
        <f t="shared" si="0"/>
        <v>4606</v>
      </c>
      <c r="J12" s="90">
        <v>30</v>
      </c>
      <c r="K12" s="519">
        <v>50</v>
      </c>
      <c r="L12" s="524">
        <v>100</v>
      </c>
      <c r="N12" s="185">
        <v>40</v>
      </c>
      <c r="O12" s="92">
        <f t="shared" si="1"/>
        <v>350109.36692484317</v>
      </c>
      <c r="P12" s="92">
        <f t="shared" si="1"/>
        <v>463308.70034165162</v>
      </c>
      <c r="Q12" s="92">
        <f t="shared" si="1"/>
        <v>266827.00019676273</v>
      </c>
      <c r="R12" s="92">
        <f t="shared" si="1"/>
        <v>109965.06674775676</v>
      </c>
      <c r="S12" s="92">
        <f t="shared" si="1"/>
        <v>671918.90049548424</v>
      </c>
      <c r="U12" s="163">
        <f t="shared" si="2"/>
        <v>1200</v>
      </c>
      <c r="V12" s="522">
        <f t="shared" si="3"/>
        <v>2000</v>
      </c>
      <c r="W12" s="320">
        <f t="shared" si="4"/>
        <v>4000</v>
      </c>
    </row>
    <row r="13" spans="1:23" ht="15.75">
      <c r="A13" s="29" t="s">
        <v>19</v>
      </c>
      <c r="B13" s="140" t="s">
        <v>486</v>
      </c>
      <c r="C13" s="63">
        <v>920</v>
      </c>
      <c r="D13" s="63">
        <v>1120</v>
      </c>
      <c r="E13" s="63">
        <v>1010</v>
      </c>
      <c r="F13" s="63">
        <v>970</v>
      </c>
      <c r="G13" s="63">
        <v>980</v>
      </c>
      <c r="H13" s="305">
        <v>15415</v>
      </c>
      <c r="I13" s="302">
        <f t="shared" si="0"/>
        <v>5000</v>
      </c>
      <c r="J13" s="90">
        <v>25</v>
      </c>
      <c r="K13" s="519">
        <v>10</v>
      </c>
      <c r="L13" s="524">
        <v>25</v>
      </c>
      <c r="N13" s="185">
        <v>33</v>
      </c>
      <c r="O13" s="92">
        <f t="shared" si="1"/>
        <v>50525.681342109201</v>
      </c>
      <c r="P13" s="92">
        <f t="shared" si="1"/>
        <v>61509.525112132942</v>
      </c>
      <c r="Q13" s="92">
        <f t="shared" si="1"/>
        <v>55468.411038619888</v>
      </c>
      <c r="R13" s="92">
        <f t="shared" si="1"/>
        <v>53271.64228461514</v>
      </c>
      <c r="S13" s="92">
        <f t="shared" si="1"/>
        <v>53820.834473116323</v>
      </c>
      <c r="U13" s="163">
        <f t="shared" si="2"/>
        <v>825</v>
      </c>
      <c r="V13" s="522">
        <f t="shared" si="3"/>
        <v>330</v>
      </c>
      <c r="W13" s="320">
        <f t="shared" si="4"/>
        <v>825</v>
      </c>
    </row>
    <row r="14" spans="1:23" ht="15.75">
      <c r="A14" s="29" t="s">
        <v>20</v>
      </c>
      <c r="B14" s="140" t="s">
        <v>486</v>
      </c>
      <c r="C14" s="63">
        <v>640</v>
      </c>
      <c r="D14" s="63">
        <v>760</v>
      </c>
      <c r="E14" s="63">
        <v>1500</v>
      </c>
      <c r="F14" s="63">
        <v>1910</v>
      </c>
      <c r="G14" s="63">
        <v>190</v>
      </c>
      <c r="H14" s="306">
        <v>3270</v>
      </c>
      <c r="I14" s="312">
        <f t="shared" si="0"/>
        <v>5000</v>
      </c>
      <c r="J14" s="90">
        <v>5</v>
      </c>
      <c r="K14" s="519">
        <v>10</v>
      </c>
      <c r="L14" s="524">
        <v>25</v>
      </c>
      <c r="N14" s="185">
        <v>38</v>
      </c>
      <c r="O14" s="92">
        <f t="shared" si="1"/>
        <v>146272.44814525047</v>
      </c>
      <c r="P14" s="92">
        <f t="shared" si="1"/>
        <v>173698.53217248491</v>
      </c>
      <c r="Q14" s="92">
        <f t="shared" si="1"/>
        <v>342826.05034043081</v>
      </c>
      <c r="R14" s="92">
        <f t="shared" si="1"/>
        <v>436531.83743348182</v>
      </c>
      <c r="S14" s="92">
        <f t="shared" si="1"/>
        <v>43424.633043121226</v>
      </c>
      <c r="U14" s="163">
        <f t="shared" si="2"/>
        <v>190</v>
      </c>
      <c r="V14" s="522">
        <f t="shared" si="3"/>
        <v>380</v>
      </c>
      <c r="W14" s="320">
        <f t="shared" si="4"/>
        <v>950</v>
      </c>
    </row>
    <row r="15" spans="1:23" ht="15.75">
      <c r="A15" s="29"/>
      <c r="B15" s="140"/>
      <c r="C15" s="63"/>
      <c r="D15" s="63"/>
      <c r="E15" s="63"/>
      <c r="F15" s="63"/>
      <c r="G15" s="63"/>
      <c r="H15" s="105"/>
      <c r="N15" s="76"/>
      <c r="O15" s="92"/>
      <c r="P15" s="92"/>
      <c r="Q15" s="92"/>
      <c r="R15" s="92"/>
      <c r="S15" s="92"/>
      <c r="U15" s="322">
        <f>SUM(U7:U14)</f>
        <v>3122</v>
      </c>
      <c r="V15" s="523">
        <f>SUM(V7:V14)</f>
        <v>3780</v>
      </c>
      <c r="W15" s="321">
        <f>SUM(W7:W14)</f>
        <v>8450</v>
      </c>
    </row>
    <row r="16" spans="1:23">
      <c r="C16" s="90"/>
      <c r="D16" s="90"/>
      <c r="E16" s="90"/>
      <c r="F16" s="90"/>
      <c r="G16" s="90"/>
      <c r="N16" s="75"/>
      <c r="O16" s="92"/>
      <c r="P16" s="92"/>
      <c r="Q16" s="92"/>
      <c r="R16" s="92"/>
      <c r="S16" s="92"/>
      <c r="U16" s="163"/>
      <c r="V16" s="522"/>
      <c r="W16" s="320"/>
    </row>
    <row r="17" spans="1:23">
      <c r="A17" s="141" t="s">
        <v>431</v>
      </c>
      <c r="B17">
        <v>0</v>
      </c>
      <c r="C17" s="63">
        <v>685</v>
      </c>
      <c r="D17" s="63">
        <v>375</v>
      </c>
      <c r="E17" s="63">
        <v>195</v>
      </c>
      <c r="F17" s="63">
        <v>235</v>
      </c>
      <c r="G17" s="63">
        <v>475</v>
      </c>
      <c r="H17" s="304">
        <v>1965</v>
      </c>
      <c r="I17" s="303">
        <f t="shared" ref="I17:I47" si="5">C17+D17+E17+F17+G17</f>
        <v>1965</v>
      </c>
      <c r="J17" s="90">
        <v>0</v>
      </c>
      <c r="K17" s="519">
        <v>0</v>
      </c>
      <c r="L17" s="524">
        <v>0</v>
      </c>
      <c r="N17" s="6">
        <v>0</v>
      </c>
      <c r="O17" s="92">
        <f t="shared" ref="O17:O27" si="6">C17*1.33^($N17)/(1.6^($B$3/2))</f>
        <v>3.0782987852480481</v>
      </c>
      <c r="P17" s="92">
        <f t="shared" ref="P17:P27" si="7">D17*1.33^($N17)/(1.6^($B$3/2))</f>
        <v>1.6852000649168146</v>
      </c>
      <c r="Q17" s="92">
        <f t="shared" ref="Q17:Q27" si="8">E17*1.33^($N17)/(1.6^($B$3/2))</f>
        <v>0.87630403375674371</v>
      </c>
      <c r="R17" s="92">
        <f t="shared" ref="R17:R27" si="9">F17*1.33^($N17)/(1.6^($B$3/2))</f>
        <v>1.0560587073478707</v>
      </c>
      <c r="S17" s="92">
        <f t="shared" ref="S17:S27" si="10">G17*1.33^($N17)/(1.6^($B$3/2))</f>
        <v>2.1345867488946322</v>
      </c>
      <c r="U17" s="163">
        <f>(N17+1)*J17</f>
        <v>0</v>
      </c>
      <c r="V17" s="522">
        <f>(N17+1)*K17</f>
        <v>0</v>
      </c>
      <c r="W17" s="320">
        <f>(N17+1)*L17</f>
        <v>0</v>
      </c>
    </row>
    <row r="18" spans="1:23">
      <c r="A18" s="143" t="s">
        <v>482</v>
      </c>
      <c r="B18">
        <v>0</v>
      </c>
      <c r="C18" s="63">
        <v>23400</v>
      </c>
      <c r="D18" s="63">
        <v>9850</v>
      </c>
      <c r="E18" s="63">
        <v>10550</v>
      </c>
      <c r="F18" s="63">
        <v>4950</v>
      </c>
      <c r="G18" s="63">
        <v>14400</v>
      </c>
      <c r="H18" s="305">
        <v>63150</v>
      </c>
      <c r="I18" s="302">
        <f t="shared" si="5"/>
        <v>63150</v>
      </c>
      <c r="J18" s="90">
        <v>106</v>
      </c>
      <c r="K18" s="519">
        <v>50</v>
      </c>
      <c r="L18" s="524">
        <v>50</v>
      </c>
      <c r="N18" s="6">
        <v>0</v>
      </c>
      <c r="O18" s="92">
        <f t="shared" si="6"/>
        <v>105.15648405080924</v>
      </c>
      <c r="P18" s="92">
        <f t="shared" si="7"/>
        <v>44.264588371815002</v>
      </c>
      <c r="Q18" s="92">
        <f t="shared" si="8"/>
        <v>47.410295159659718</v>
      </c>
      <c r="R18" s="92">
        <f t="shared" si="9"/>
        <v>22.244640856901956</v>
      </c>
      <c r="S18" s="92">
        <f t="shared" si="10"/>
        <v>64.711682492805679</v>
      </c>
      <c r="U18" s="163">
        <f>(N18+1)*J18</f>
        <v>106</v>
      </c>
      <c r="V18" s="522">
        <f>(N18+1)*K18</f>
        <v>50</v>
      </c>
      <c r="W18" s="320">
        <f>(N18+1)*L18</f>
        <v>50</v>
      </c>
    </row>
    <row r="19" spans="1:23" ht="15.75">
      <c r="A19" s="104" t="s">
        <v>432</v>
      </c>
      <c r="B19" s="140" t="s">
        <v>486</v>
      </c>
      <c r="C19" s="63">
        <v>5800</v>
      </c>
      <c r="D19" s="63">
        <v>6400</v>
      </c>
      <c r="E19" s="63">
        <v>3500</v>
      </c>
      <c r="F19" s="63">
        <v>5500</v>
      </c>
      <c r="G19" s="63">
        <v>8800</v>
      </c>
      <c r="H19" s="305">
        <v>30560</v>
      </c>
      <c r="I19" s="302">
        <f t="shared" si="5"/>
        <v>30000</v>
      </c>
      <c r="J19" s="90">
        <v>150</v>
      </c>
      <c r="K19" s="519">
        <v>250</v>
      </c>
      <c r="L19" s="524">
        <v>100</v>
      </c>
      <c r="N19" s="185">
        <v>40</v>
      </c>
      <c r="O19" s="92">
        <f t="shared" si="6"/>
        <v>2344843.33506246</v>
      </c>
      <c r="P19" s="92">
        <f t="shared" si="7"/>
        <v>2587413.3352413354</v>
      </c>
      <c r="Q19" s="92">
        <f t="shared" si="8"/>
        <v>1414991.6677101052</v>
      </c>
      <c r="R19" s="92">
        <f t="shared" si="9"/>
        <v>2223558.3349730228</v>
      </c>
      <c r="S19" s="92">
        <f t="shared" si="10"/>
        <v>3557693.3359568366</v>
      </c>
      <c r="U19" s="163">
        <f t="shared" si="2"/>
        <v>6000</v>
      </c>
      <c r="V19" s="522">
        <f t="shared" si="3"/>
        <v>10000</v>
      </c>
      <c r="W19" s="320">
        <f t="shared" ref="W19:W47" si="11">(N19+1)*L19</f>
        <v>4100</v>
      </c>
    </row>
    <row r="20" spans="1:23" ht="15.75">
      <c r="A20" s="104" t="s">
        <v>434</v>
      </c>
      <c r="B20" s="140" t="s">
        <v>486</v>
      </c>
      <c r="C20" s="63">
        <v>6000</v>
      </c>
      <c r="D20" s="63">
        <v>5000</v>
      </c>
      <c r="E20" s="63">
        <v>4500</v>
      </c>
      <c r="F20" s="63">
        <v>5400</v>
      </c>
      <c r="G20" s="63">
        <v>9100</v>
      </c>
      <c r="H20" s="305">
        <v>32055</v>
      </c>
      <c r="I20" s="302">
        <f t="shared" si="5"/>
        <v>30000</v>
      </c>
      <c r="J20" s="90">
        <v>120</v>
      </c>
      <c r="K20" s="519">
        <v>150</v>
      </c>
      <c r="L20" s="524">
        <v>50</v>
      </c>
      <c r="N20" s="185">
        <v>32</v>
      </c>
      <c r="O20" s="92">
        <f t="shared" si="6"/>
        <v>247755.87451181369</v>
      </c>
      <c r="P20" s="92">
        <f t="shared" si="7"/>
        <v>206463.22875984473</v>
      </c>
      <c r="Q20" s="92">
        <f t="shared" si="8"/>
        <v>185816.90588386025</v>
      </c>
      <c r="R20" s="92">
        <f t="shared" si="9"/>
        <v>222980.28706063231</v>
      </c>
      <c r="S20" s="92">
        <f t="shared" si="10"/>
        <v>375763.0763429174</v>
      </c>
      <c r="U20" s="163">
        <f t="shared" si="2"/>
        <v>3840</v>
      </c>
      <c r="V20" s="522">
        <f t="shared" si="3"/>
        <v>4800</v>
      </c>
      <c r="W20" s="320">
        <f t="shared" si="11"/>
        <v>1650</v>
      </c>
    </row>
    <row r="21" spans="1:23" ht="15.75">
      <c r="A21" s="104" t="s">
        <v>628</v>
      </c>
      <c r="B21" s="140" t="s">
        <v>486</v>
      </c>
      <c r="C21" s="63">
        <v>4200</v>
      </c>
      <c r="D21" s="63">
        <v>5200</v>
      </c>
      <c r="E21" s="63">
        <v>6100</v>
      </c>
      <c r="F21" s="63">
        <v>4300</v>
      </c>
      <c r="G21" s="63">
        <v>10200</v>
      </c>
      <c r="H21" s="305">
        <v>13332</v>
      </c>
      <c r="I21" s="302">
        <f t="shared" si="5"/>
        <v>30000</v>
      </c>
      <c r="J21" s="90">
        <v>167</v>
      </c>
      <c r="K21" s="519">
        <v>250</v>
      </c>
      <c r="L21" s="524">
        <v>100</v>
      </c>
      <c r="N21" s="185">
        <v>40</v>
      </c>
      <c r="O21" s="92">
        <f t="shared" si="6"/>
        <v>1697990.0012521264</v>
      </c>
      <c r="P21" s="92">
        <f t="shared" si="7"/>
        <v>2102273.3348835851</v>
      </c>
      <c r="Q21" s="92">
        <f t="shared" si="8"/>
        <v>2466128.3351518982</v>
      </c>
      <c r="R21" s="92">
        <f t="shared" si="9"/>
        <v>1738418.3346152725</v>
      </c>
      <c r="S21" s="92">
        <f t="shared" si="10"/>
        <v>4123690.0030408786</v>
      </c>
      <c r="U21" s="163">
        <f t="shared" si="2"/>
        <v>6680</v>
      </c>
      <c r="V21" s="522">
        <f t="shared" si="3"/>
        <v>10000</v>
      </c>
      <c r="W21" s="320">
        <f t="shared" si="11"/>
        <v>4100</v>
      </c>
    </row>
    <row r="22" spans="1:23">
      <c r="A22" s="143" t="s">
        <v>483</v>
      </c>
      <c r="B22">
        <v>0</v>
      </c>
      <c r="C22" s="63">
        <v>17000</v>
      </c>
      <c r="D22" s="63">
        <v>22500</v>
      </c>
      <c r="E22" s="63">
        <v>16250</v>
      </c>
      <c r="F22" s="63">
        <v>7850</v>
      </c>
      <c r="G22" s="63">
        <v>20050</v>
      </c>
      <c r="H22" s="305">
        <v>83650</v>
      </c>
      <c r="I22" s="302">
        <f t="shared" si="5"/>
        <v>83650</v>
      </c>
      <c r="J22" s="90">
        <v>144</v>
      </c>
      <c r="K22" s="519">
        <v>50</v>
      </c>
      <c r="L22" s="524">
        <v>50</v>
      </c>
      <c r="N22" s="6">
        <v>0</v>
      </c>
      <c r="O22" s="92">
        <f t="shared" si="6"/>
        <v>76.395736276228931</v>
      </c>
      <c r="P22" s="92">
        <f t="shared" si="7"/>
        <v>101.11200389500888</v>
      </c>
      <c r="Q22" s="92">
        <f t="shared" si="8"/>
        <v>73.025336146395304</v>
      </c>
      <c r="R22" s="92">
        <f t="shared" si="9"/>
        <v>35.276854692258652</v>
      </c>
      <c r="S22" s="92">
        <f t="shared" si="10"/>
        <v>90.102030137552362</v>
      </c>
      <c r="U22" s="163">
        <f>(N22+1)*J22</f>
        <v>144</v>
      </c>
      <c r="V22" s="522">
        <f>(N22+1)*K22</f>
        <v>50</v>
      </c>
      <c r="W22" s="320">
        <f>(N22+1)*L22</f>
        <v>50</v>
      </c>
    </row>
    <row r="23" spans="1:23" ht="15.75">
      <c r="A23" s="104" t="s">
        <v>435</v>
      </c>
      <c r="B23" s="140" t="s">
        <v>486</v>
      </c>
      <c r="C23" s="63">
        <v>6800</v>
      </c>
      <c r="D23" s="63">
        <v>5400</v>
      </c>
      <c r="E23" s="63">
        <v>4500</v>
      </c>
      <c r="F23" s="63">
        <v>4400</v>
      </c>
      <c r="G23" s="63">
        <v>8900</v>
      </c>
      <c r="H23" s="305">
        <v>30985</v>
      </c>
      <c r="I23" s="302">
        <f t="shared" si="5"/>
        <v>30000</v>
      </c>
      <c r="J23" s="90">
        <v>156</v>
      </c>
      <c r="K23" s="519">
        <v>150</v>
      </c>
      <c r="L23" s="524">
        <v>50</v>
      </c>
      <c r="N23" s="185">
        <v>30</v>
      </c>
      <c r="O23" s="92">
        <f t="shared" si="6"/>
        <v>158737.06321068961</v>
      </c>
      <c r="P23" s="92">
        <f t="shared" si="7"/>
        <v>126055.90313790058</v>
      </c>
      <c r="Q23" s="92">
        <f t="shared" si="8"/>
        <v>105046.58594825047</v>
      </c>
      <c r="R23" s="92">
        <f t="shared" si="9"/>
        <v>102712.2173716227</v>
      </c>
      <c r="S23" s="92">
        <f t="shared" si="10"/>
        <v>207758.80331987317</v>
      </c>
      <c r="U23" s="163">
        <f t="shared" si="2"/>
        <v>4680</v>
      </c>
      <c r="V23" s="522">
        <f t="shared" si="3"/>
        <v>4500</v>
      </c>
      <c r="W23" s="320">
        <f t="shared" si="11"/>
        <v>1550</v>
      </c>
    </row>
    <row r="24" spans="1:23" ht="15.75">
      <c r="A24" s="104" t="s">
        <v>436</v>
      </c>
      <c r="B24" s="140" t="s">
        <v>486</v>
      </c>
      <c r="C24" s="63">
        <v>4500</v>
      </c>
      <c r="D24" s="63">
        <v>4000</v>
      </c>
      <c r="E24" s="63">
        <v>6000</v>
      </c>
      <c r="F24" s="63">
        <v>3400</v>
      </c>
      <c r="G24" s="63">
        <v>12100</v>
      </c>
      <c r="H24" s="305">
        <v>27295</v>
      </c>
      <c r="I24" s="302">
        <f t="shared" si="5"/>
        <v>30000</v>
      </c>
      <c r="J24" s="90">
        <v>138</v>
      </c>
      <c r="K24" s="519">
        <v>250</v>
      </c>
      <c r="L24" s="524">
        <v>100</v>
      </c>
      <c r="N24" s="185">
        <v>35</v>
      </c>
      <c r="O24" s="92">
        <f t="shared" si="6"/>
        <v>437159.72800788737</v>
      </c>
      <c r="P24" s="92">
        <f t="shared" si="7"/>
        <v>388586.42489589984</v>
      </c>
      <c r="Q24" s="92">
        <f t="shared" si="8"/>
        <v>582879.63734384975</v>
      </c>
      <c r="R24" s="92">
        <f t="shared" si="9"/>
        <v>330298.46116151486</v>
      </c>
      <c r="S24" s="92">
        <f t="shared" si="10"/>
        <v>1175473.9353100972</v>
      </c>
      <c r="U24" s="163">
        <f t="shared" si="2"/>
        <v>4830</v>
      </c>
      <c r="V24" s="522">
        <f t="shared" si="3"/>
        <v>8750</v>
      </c>
      <c r="W24" s="320">
        <f t="shared" si="11"/>
        <v>3600</v>
      </c>
    </row>
    <row r="25" spans="1:23" ht="15.75">
      <c r="A25" s="104" t="s">
        <v>624</v>
      </c>
      <c r="B25" s="140" t="s">
        <v>486</v>
      </c>
      <c r="C25" s="63">
        <v>5500</v>
      </c>
      <c r="D25" s="63">
        <v>5000</v>
      </c>
      <c r="E25" s="63">
        <v>4500</v>
      </c>
      <c r="F25" s="63">
        <v>3900</v>
      </c>
      <c r="G25" s="63">
        <v>11100</v>
      </c>
      <c r="H25" s="305">
        <v>12767</v>
      </c>
      <c r="I25" s="302">
        <f t="shared" si="5"/>
        <v>30000</v>
      </c>
      <c r="J25" s="90">
        <v>147</v>
      </c>
      <c r="K25" s="519">
        <v>250</v>
      </c>
      <c r="L25" s="524">
        <v>100</v>
      </c>
      <c r="N25" s="185">
        <v>35</v>
      </c>
      <c r="O25" s="92">
        <f t="shared" si="6"/>
        <v>534306.33423186233</v>
      </c>
      <c r="P25" s="92">
        <f t="shared" si="7"/>
        <v>485733.03111987479</v>
      </c>
      <c r="Q25" s="92">
        <f t="shared" si="8"/>
        <v>437159.72800788737</v>
      </c>
      <c r="R25" s="92">
        <f t="shared" si="9"/>
        <v>378871.7642735024</v>
      </c>
      <c r="S25" s="92">
        <f t="shared" si="10"/>
        <v>1078327.3290861221</v>
      </c>
      <c r="U25" s="163">
        <f t="shared" si="2"/>
        <v>5145</v>
      </c>
      <c r="V25" s="522">
        <f t="shared" si="3"/>
        <v>8750</v>
      </c>
      <c r="W25" s="320">
        <f t="shared" si="11"/>
        <v>3600</v>
      </c>
    </row>
    <row r="26" spans="1:23" ht="15.75">
      <c r="A26" s="143" t="s">
        <v>422</v>
      </c>
      <c r="B26" s="140" t="s">
        <v>486</v>
      </c>
      <c r="C26" s="63">
        <v>1400</v>
      </c>
      <c r="D26" s="63">
        <v>1500</v>
      </c>
      <c r="E26" s="63">
        <v>2200</v>
      </c>
      <c r="F26" s="63">
        <v>2000</v>
      </c>
      <c r="G26" s="63">
        <v>2900</v>
      </c>
      <c r="H26" s="305">
        <v>8865</v>
      </c>
      <c r="I26" s="302">
        <f t="shared" si="5"/>
        <v>10000</v>
      </c>
      <c r="J26" s="90">
        <v>14</v>
      </c>
      <c r="K26" s="519">
        <v>50</v>
      </c>
      <c r="L26" s="524">
        <v>50</v>
      </c>
      <c r="N26" s="185">
        <v>36</v>
      </c>
      <c r="O26" s="92">
        <f t="shared" si="6"/>
        <v>180886.98078904144</v>
      </c>
      <c r="P26" s="92">
        <f t="shared" si="7"/>
        <v>193807.47941683009</v>
      </c>
      <c r="Q26" s="92">
        <f t="shared" si="8"/>
        <v>284250.96981135081</v>
      </c>
      <c r="R26" s="92">
        <f t="shared" si="9"/>
        <v>258409.97255577345</v>
      </c>
      <c r="S26" s="92">
        <f t="shared" si="10"/>
        <v>374694.4602058715</v>
      </c>
      <c r="U26" s="163">
        <f t="shared" si="2"/>
        <v>504</v>
      </c>
      <c r="V26" s="522">
        <f t="shared" si="3"/>
        <v>1800</v>
      </c>
      <c r="W26" s="320">
        <f t="shared" si="11"/>
        <v>1850</v>
      </c>
    </row>
    <row r="27" spans="1:23">
      <c r="A27" s="143" t="s">
        <v>484</v>
      </c>
      <c r="B27">
        <v>0</v>
      </c>
      <c r="C27" s="63">
        <v>1250</v>
      </c>
      <c r="D27" s="63">
        <v>2755</v>
      </c>
      <c r="E27" s="63">
        <v>395</v>
      </c>
      <c r="F27" s="63">
        <v>545</v>
      </c>
      <c r="G27" s="63">
        <v>2105</v>
      </c>
      <c r="H27" s="305">
        <v>7050</v>
      </c>
      <c r="I27" s="302">
        <f t="shared" si="5"/>
        <v>7050</v>
      </c>
      <c r="J27" s="90">
        <v>13</v>
      </c>
      <c r="K27" s="519">
        <v>50</v>
      </c>
      <c r="L27" s="524">
        <v>50</v>
      </c>
      <c r="N27" s="6">
        <v>0</v>
      </c>
      <c r="O27" s="92">
        <f t="shared" si="6"/>
        <v>5.6173335497227157</v>
      </c>
      <c r="P27" s="92">
        <f t="shared" si="7"/>
        <v>12.380603143588866</v>
      </c>
      <c r="Q27" s="92">
        <f t="shared" si="8"/>
        <v>1.7750774017123783</v>
      </c>
      <c r="R27" s="92">
        <f t="shared" si="9"/>
        <v>2.4491574276791042</v>
      </c>
      <c r="S27" s="92">
        <f t="shared" si="10"/>
        <v>9.4595896977330529</v>
      </c>
      <c r="U27" s="163">
        <f>(N27+1)*J27</f>
        <v>13</v>
      </c>
      <c r="V27" s="522">
        <f>(N27+1)*K27</f>
        <v>50</v>
      </c>
      <c r="W27" s="320">
        <f>(N27+1)*L27</f>
        <v>50</v>
      </c>
    </row>
    <row r="28" spans="1:23">
      <c r="A28" s="143" t="s">
        <v>717</v>
      </c>
      <c r="B28">
        <v>0</v>
      </c>
      <c r="C28" s="63">
        <v>10000</v>
      </c>
      <c r="D28" s="63">
        <v>10000</v>
      </c>
      <c r="E28" s="63">
        <v>10000</v>
      </c>
      <c r="F28" s="63">
        <v>10000</v>
      </c>
      <c r="G28" s="63">
        <v>20000</v>
      </c>
      <c r="H28" s="305"/>
      <c r="I28" s="302">
        <f t="shared" si="5"/>
        <v>60000</v>
      </c>
      <c r="K28" s="519">
        <v>50</v>
      </c>
      <c r="L28" s="524">
        <v>50</v>
      </c>
      <c r="N28" s="6">
        <v>0</v>
      </c>
      <c r="O28" s="92"/>
      <c r="P28" s="92"/>
      <c r="Q28" s="92"/>
      <c r="R28" s="92"/>
      <c r="S28" s="92"/>
      <c r="U28" s="163">
        <f>(N28+1)*J28</f>
        <v>0</v>
      </c>
      <c r="V28" s="522">
        <f>(N28+1)*K28</f>
        <v>50</v>
      </c>
      <c r="W28" s="320">
        <f>(N28+1)*L28</f>
        <v>50</v>
      </c>
    </row>
    <row r="29" spans="1:23" ht="15.75">
      <c r="A29" s="104" t="s">
        <v>437</v>
      </c>
      <c r="B29" s="140" t="s">
        <v>486</v>
      </c>
      <c r="C29" s="63">
        <v>4500</v>
      </c>
      <c r="D29" s="63">
        <v>2500</v>
      </c>
      <c r="E29" s="63">
        <v>3800</v>
      </c>
      <c r="F29" s="63">
        <v>2000</v>
      </c>
      <c r="G29" s="63">
        <v>7200</v>
      </c>
      <c r="H29" s="305">
        <v>25375</v>
      </c>
      <c r="I29" s="302">
        <f t="shared" si="5"/>
        <v>20000</v>
      </c>
      <c r="J29" s="90">
        <v>60</v>
      </c>
      <c r="K29" s="519">
        <v>150</v>
      </c>
      <c r="L29" s="524">
        <v>50</v>
      </c>
      <c r="N29" s="185">
        <v>31</v>
      </c>
      <c r="O29" s="92">
        <f t="shared" ref="O29:O39" si="12">C29*1.33^($N29)/(1.6^($B$3/2))</f>
        <v>139711.95931117312</v>
      </c>
      <c r="P29" s="92">
        <f t="shared" ref="P29:P39" si="13">D29*1.33^($N29)/(1.6^($B$3/2))</f>
        <v>77617.755172873964</v>
      </c>
      <c r="Q29" s="92">
        <f t="shared" ref="Q29:Q39" si="14">E29*1.33^($N29)/(1.6^($B$3/2))</f>
        <v>117978.98786276839</v>
      </c>
      <c r="R29" s="92">
        <f t="shared" ref="R29:R39" si="15">F29*1.33^($N29)/(1.6^($B$3/2))</f>
        <v>62094.204138299167</v>
      </c>
      <c r="S29" s="92">
        <f t="shared" ref="S29:S39" si="16">G29*1.33^($N29)/(1.6^($B$3/2))</f>
        <v>223539.13489787697</v>
      </c>
      <c r="U29" s="163">
        <f t="shared" si="2"/>
        <v>1860</v>
      </c>
      <c r="V29" s="522">
        <f t="shared" si="3"/>
        <v>4650</v>
      </c>
      <c r="W29" s="320">
        <f t="shared" si="11"/>
        <v>1600</v>
      </c>
    </row>
    <row r="30" spans="1:23" ht="15.75">
      <c r="A30" s="104" t="s">
        <v>438</v>
      </c>
      <c r="B30" s="140" t="s">
        <v>486</v>
      </c>
      <c r="C30" s="63">
        <v>4000</v>
      </c>
      <c r="D30" s="63">
        <v>3900</v>
      </c>
      <c r="E30" s="63">
        <v>3500</v>
      </c>
      <c r="F30" s="63">
        <v>3300</v>
      </c>
      <c r="G30" s="63">
        <v>5300</v>
      </c>
      <c r="H30" s="305">
        <v>17295</v>
      </c>
      <c r="I30" s="302">
        <f t="shared" si="5"/>
        <v>20000</v>
      </c>
      <c r="J30" s="90">
        <v>120</v>
      </c>
      <c r="K30" s="519">
        <v>250</v>
      </c>
      <c r="L30" s="524">
        <v>100</v>
      </c>
      <c r="N30" s="185">
        <v>39</v>
      </c>
      <c r="O30" s="92">
        <f t="shared" si="12"/>
        <v>1215889.7252073945</v>
      </c>
      <c r="P30" s="92">
        <f t="shared" si="13"/>
        <v>1185492.4820772095</v>
      </c>
      <c r="Q30" s="92">
        <f t="shared" si="14"/>
        <v>1063903.50955647</v>
      </c>
      <c r="R30" s="92">
        <f t="shared" si="15"/>
        <v>1003109.0232961003</v>
      </c>
      <c r="S30" s="92">
        <f t="shared" si="16"/>
        <v>1611053.8858997975</v>
      </c>
      <c r="U30" s="163">
        <f t="shared" si="2"/>
        <v>4680</v>
      </c>
      <c r="V30" s="522">
        <f t="shared" si="3"/>
        <v>9750</v>
      </c>
      <c r="W30" s="320">
        <f t="shared" si="11"/>
        <v>4000</v>
      </c>
    </row>
    <row r="31" spans="1:23" ht="15.75">
      <c r="A31" s="104" t="s">
        <v>440</v>
      </c>
      <c r="B31" s="140" t="s">
        <v>486</v>
      </c>
      <c r="C31" s="63">
        <v>4700</v>
      </c>
      <c r="D31" s="63">
        <v>4500</v>
      </c>
      <c r="E31" s="63">
        <v>1400</v>
      </c>
      <c r="F31" s="63">
        <v>3200</v>
      </c>
      <c r="G31" s="63">
        <v>6200</v>
      </c>
      <c r="H31" s="305">
        <v>40800</v>
      </c>
      <c r="I31" s="302">
        <f t="shared" si="5"/>
        <v>20000</v>
      </c>
      <c r="J31" s="90">
        <v>130</v>
      </c>
      <c r="K31" s="519">
        <v>250</v>
      </c>
      <c r="L31" s="524">
        <v>100</v>
      </c>
      <c r="N31" s="185">
        <v>35</v>
      </c>
      <c r="O31" s="92">
        <f t="shared" si="12"/>
        <v>456589.04925268237</v>
      </c>
      <c r="P31" s="92">
        <f t="shared" si="13"/>
        <v>437159.72800788737</v>
      </c>
      <c r="Q31" s="92">
        <f t="shared" si="14"/>
        <v>136005.24871356497</v>
      </c>
      <c r="R31" s="92">
        <f t="shared" si="15"/>
        <v>310869.13991671987</v>
      </c>
      <c r="S31" s="92">
        <f t="shared" si="16"/>
        <v>602308.95858864475</v>
      </c>
      <c r="U31" s="163">
        <f t="shared" si="2"/>
        <v>4550</v>
      </c>
      <c r="V31" s="522">
        <f t="shared" si="3"/>
        <v>8750</v>
      </c>
      <c r="W31" s="320">
        <f t="shared" si="11"/>
        <v>3600</v>
      </c>
    </row>
    <row r="32" spans="1:23">
      <c r="A32" s="143" t="s">
        <v>623</v>
      </c>
      <c r="B32">
        <v>0</v>
      </c>
      <c r="C32" s="63">
        <v>2000</v>
      </c>
      <c r="D32" s="63">
        <v>2000</v>
      </c>
      <c r="E32" s="63">
        <v>2000</v>
      </c>
      <c r="F32" s="63">
        <v>2000</v>
      </c>
      <c r="G32" s="63">
        <v>4000</v>
      </c>
      <c r="H32" s="305">
        <v>50000</v>
      </c>
      <c r="I32" s="302">
        <f t="shared" si="5"/>
        <v>12000</v>
      </c>
      <c r="J32" s="90">
        <v>150</v>
      </c>
      <c r="K32" s="519">
        <v>50</v>
      </c>
      <c r="L32" s="524">
        <v>50</v>
      </c>
      <c r="N32" s="6">
        <v>0</v>
      </c>
      <c r="O32" s="92">
        <f t="shared" si="12"/>
        <v>8.9877336795563458</v>
      </c>
      <c r="P32" s="92">
        <f t="shared" si="13"/>
        <v>8.9877336795563458</v>
      </c>
      <c r="Q32" s="92">
        <f t="shared" si="14"/>
        <v>8.9877336795563458</v>
      </c>
      <c r="R32" s="92">
        <f t="shared" si="15"/>
        <v>8.9877336795563458</v>
      </c>
      <c r="S32" s="92">
        <f t="shared" si="16"/>
        <v>17.975467359112692</v>
      </c>
      <c r="U32" s="163">
        <f>(N32+1)*J32</f>
        <v>150</v>
      </c>
      <c r="V32" s="522">
        <f>(N32+1)*K32</f>
        <v>50</v>
      </c>
      <c r="W32" s="320">
        <f>(N32+1)*L32</f>
        <v>50</v>
      </c>
    </row>
    <row r="33" spans="1:23" ht="15.75">
      <c r="A33" s="104" t="s">
        <v>625</v>
      </c>
      <c r="B33" s="140" t="s">
        <v>486</v>
      </c>
      <c r="C33" s="63">
        <v>2000</v>
      </c>
      <c r="D33" s="63">
        <v>1300</v>
      </c>
      <c r="E33" s="63">
        <v>1200</v>
      </c>
      <c r="F33" s="63">
        <v>1800</v>
      </c>
      <c r="G33" s="63">
        <v>3700</v>
      </c>
      <c r="H33" s="305">
        <v>31945</v>
      </c>
      <c r="I33" s="302">
        <f t="shared" si="5"/>
        <v>10000</v>
      </c>
      <c r="J33" s="90">
        <v>85</v>
      </c>
      <c r="K33" s="519">
        <v>150</v>
      </c>
      <c r="L33" s="524">
        <v>100</v>
      </c>
      <c r="N33" s="185">
        <v>31</v>
      </c>
      <c r="O33" s="92">
        <f t="shared" si="12"/>
        <v>62094.204138299167</v>
      </c>
      <c r="P33" s="92">
        <f t="shared" si="13"/>
        <v>40361.232689894452</v>
      </c>
      <c r="Q33" s="92">
        <f t="shared" si="14"/>
        <v>37256.522482979497</v>
      </c>
      <c r="R33" s="92">
        <f t="shared" si="15"/>
        <v>55884.783724469242</v>
      </c>
      <c r="S33" s="92">
        <f t="shared" si="16"/>
        <v>114874.27765585345</v>
      </c>
      <c r="U33" s="163">
        <f t="shared" si="2"/>
        <v>2635</v>
      </c>
      <c r="V33" s="522">
        <f t="shared" si="3"/>
        <v>4650</v>
      </c>
      <c r="W33" s="320">
        <f t="shared" si="11"/>
        <v>3200</v>
      </c>
    </row>
    <row r="34" spans="1:23" ht="15.75">
      <c r="A34" s="104" t="s">
        <v>626</v>
      </c>
      <c r="B34" s="140" t="s">
        <v>486</v>
      </c>
      <c r="C34" s="63">
        <v>1800</v>
      </c>
      <c r="D34" s="63">
        <v>1600</v>
      </c>
      <c r="E34" s="63">
        <v>600</v>
      </c>
      <c r="F34" s="63">
        <v>2600</v>
      </c>
      <c r="G34" s="63">
        <v>3400</v>
      </c>
      <c r="H34" s="305">
        <v>36001</v>
      </c>
      <c r="I34" s="302">
        <f t="shared" si="5"/>
        <v>10000</v>
      </c>
      <c r="J34" s="90">
        <v>85</v>
      </c>
      <c r="K34" s="519">
        <v>150</v>
      </c>
      <c r="L34" s="524">
        <v>100</v>
      </c>
      <c r="N34" s="185">
        <v>34</v>
      </c>
      <c r="O34" s="92">
        <f t="shared" si="12"/>
        <v>131476.60992718418</v>
      </c>
      <c r="P34" s="92">
        <f t="shared" si="13"/>
        <v>116868.0977130526</v>
      </c>
      <c r="Q34" s="92">
        <f t="shared" si="14"/>
        <v>43825.53664239472</v>
      </c>
      <c r="R34" s="92">
        <f t="shared" si="15"/>
        <v>189910.65878371047</v>
      </c>
      <c r="S34" s="92">
        <f t="shared" si="16"/>
        <v>248344.70764023677</v>
      </c>
      <c r="U34" s="163">
        <f t="shared" si="2"/>
        <v>2890</v>
      </c>
      <c r="V34" s="522">
        <f t="shared" si="3"/>
        <v>5100</v>
      </c>
      <c r="W34" s="320">
        <f t="shared" si="11"/>
        <v>3500</v>
      </c>
    </row>
    <row r="35" spans="1:23" ht="15.75">
      <c r="A35" s="104" t="s">
        <v>627</v>
      </c>
      <c r="B35" s="140" t="s">
        <v>486</v>
      </c>
      <c r="C35" s="63">
        <v>700</v>
      </c>
      <c r="D35" s="63">
        <v>3200</v>
      </c>
      <c r="E35" s="63">
        <v>800</v>
      </c>
      <c r="F35" s="63">
        <v>1700</v>
      </c>
      <c r="G35" s="63">
        <v>3600</v>
      </c>
      <c r="H35" s="305">
        <v>18625</v>
      </c>
      <c r="I35" s="302">
        <f t="shared" si="5"/>
        <v>10000</v>
      </c>
      <c r="J35" s="90">
        <v>85</v>
      </c>
      <c r="K35" s="519">
        <v>100</v>
      </c>
      <c r="L35" s="524">
        <v>50</v>
      </c>
      <c r="N35" s="185">
        <v>33</v>
      </c>
      <c r="O35" s="92">
        <f t="shared" si="12"/>
        <v>38443.453195083093</v>
      </c>
      <c r="P35" s="92">
        <f t="shared" si="13"/>
        <v>175741.50032037986</v>
      </c>
      <c r="Q35" s="92">
        <f t="shared" si="14"/>
        <v>43935.375080094964</v>
      </c>
      <c r="R35" s="92">
        <f t="shared" si="15"/>
        <v>93362.672045201791</v>
      </c>
      <c r="S35" s="92">
        <f t="shared" si="16"/>
        <v>197709.18786042734</v>
      </c>
      <c r="U35" s="163">
        <f t="shared" si="2"/>
        <v>2805</v>
      </c>
      <c r="V35" s="522">
        <f t="shared" si="3"/>
        <v>3300</v>
      </c>
      <c r="W35" s="320">
        <f t="shared" si="11"/>
        <v>1700</v>
      </c>
    </row>
    <row r="36" spans="1:23" ht="15.75">
      <c r="A36" s="104" t="s">
        <v>439</v>
      </c>
      <c r="B36" s="140" t="s">
        <v>486</v>
      </c>
      <c r="C36" s="63">
        <v>4500</v>
      </c>
      <c r="D36" s="63">
        <v>5500</v>
      </c>
      <c r="E36" s="63">
        <v>1500</v>
      </c>
      <c r="F36" s="63">
        <v>1700</v>
      </c>
      <c r="G36" s="63">
        <v>6800</v>
      </c>
      <c r="H36" s="305">
        <v>56200</v>
      </c>
      <c r="I36" s="302">
        <f t="shared" si="5"/>
        <v>20000</v>
      </c>
      <c r="J36" s="90">
        <v>125</v>
      </c>
      <c r="K36" s="519">
        <v>100</v>
      </c>
      <c r="L36" s="524">
        <v>50</v>
      </c>
      <c r="N36" s="185">
        <v>28</v>
      </c>
      <c r="O36" s="92">
        <f t="shared" si="12"/>
        <v>59385.259736701038</v>
      </c>
      <c r="P36" s="92">
        <f t="shared" si="13"/>
        <v>72581.984122634603</v>
      </c>
      <c r="Q36" s="92">
        <f t="shared" si="14"/>
        <v>19795.086578900344</v>
      </c>
      <c r="R36" s="92">
        <f t="shared" si="15"/>
        <v>22434.431456087055</v>
      </c>
      <c r="S36" s="92">
        <f t="shared" si="16"/>
        <v>89737.725824348221</v>
      </c>
      <c r="U36" s="163">
        <f t="shared" si="2"/>
        <v>3500</v>
      </c>
      <c r="V36" s="522">
        <f t="shared" si="3"/>
        <v>2800</v>
      </c>
      <c r="W36" s="320">
        <f t="shared" si="11"/>
        <v>1450</v>
      </c>
    </row>
    <row r="37" spans="1:23" ht="15.75">
      <c r="A37" s="143" t="s">
        <v>423</v>
      </c>
      <c r="B37" s="140" t="s">
        <v>486</v>
      </c>
      <c r="C37" s="63">
        <v>3300</v>
      </c>
      <c r="D37" s="63">
        <v>2800</v>
      </c>
      <c r="E37" s="63">
        <v>1100</v>
      </c>
      <c r="F37" s="63">
        <v>1500</v>
      </c>
      <c r="G37" s="63">
        <v>1300</v>
      </c>
      <c r="H37" s="305">
        <v>10790</v>
      </c>
      <c r="I37" s="302">
        <f t="shared" si="5"/>
        <v>10000</v>
      </c>
      <c r="J37" s="90">
        <v>17</v>
      </c>
      <c r="K37" s="519">
        <v>50</v>
      </c>
      <c r="L37" s="524">
        <v>50</v>
      </c>
      <c r="N37" s="185">
        <v>39</v>
      </c>
      <c r="O37" s="92">
        <f t="shared" si="12"/>
        <v>1003109.0232961003</v>
      </c>
      <c r="P37" s="92">
        <f t="shared" si="13"/>
        <v>851122.80764517619</v>
      </c>
      <c r="Q37" s="92">
        <f t="shared" si="14"/>
        <v>334369.67443203344</v>
      </c>
      <c r="R37" s="92">
        <f t="shared" si="15"/>
        <v>455958.64695277292</v>
      </c>
      <c r="S37" s="92">
        <f t="shared" si="16"/>
        <v>395164.16069240315</v>
      </c>
      <c r="U37" s="163">
        <f t="shared" si="2"/>
        <v>663</v>
      </c>
      <c r="V37" s="522">
        <f t="shared" si="3"/>
        <v>1950</v>
      </c>
      <c r="W37" s="320">
        <f t="shared" si="11"/>
        <v>2000</v>
      </c>
    </row>
    <row r="38" spans="1:23">
      <c r="A38" s="143" t="s">
        <v>485</v>
      </c>
      <c r="B38">
        <v>0</v>
      </c>
      <c r="C38" s="63">
        <v>2500</v>
      </c>
      <c r="D38" s="63">
        <v>500</v>
      </c>
      <c r="E38" s="63">
        <v>2200</v>
      </c>
      <c r="F38" s="63">
        <v>1800</v>
      </c>
      <c r="G38" s="63">
        <v>455</v>
      </c>
      <c r="H38" s="305">
        <v>7455</v>
      </c>
      <c r="I38" s="302">
        <f t="shared" si="5"/>
        <v>7455</v>
      </c>
      <c r="J38" s="90">
        <v>11</v>
      </c>
      <c r="K38" s="519">
        <v>50</v>
      </c>
      <c r="L38" s="524">
        <v>50</v>
      </c>
      <c r="N38" s="6">
        <v>0</v>
      </c>
      <c r="O38" s="92">
        <f t="shared" si="12"/>
        <v>11.234667099445431</v>
      </c>
      <c r="P38" s="92">
        <f t="shared" si="13"/>
        <v>2.2469334198890865</v>
      </c>
      <c r="Q38" s="92">
        <f t="shared" si="14"/>
        <v>9.8865070475119801</v>
      </c>
      <c r="R38" s="92">
        <f t="shared" si="15"/>
        <v>8.0889603116007098</v>
      </c>
      <c r="S38" s="92">
        <f t="shared" si="16"/>
        <v>2.0447094120990688</v>
      </c>
      <c r="U38" s="163">
        <f>(N38+1)*J38</f>
        <v>11</v>
      </c>
      <c r="V38" s="522">
        <f>(N38+1)*K38</f>
        <v>50</v>
      </c>
      <c r="W38" s="320">
        <f>(N38+1)*L38</f>
        <v>50</v>
      </c>
    </row>
    <row r="39" spans="1:23">
      <c r="A39" s="143" t="s">
        <v>718</v>
      </c>
      <c r="B39">
        <v>0</v>
      </c>
      <c r="C39" s="63">
        <v>10000</v>
      </c>
      <c r="D39" s="63">
        <v>10000</v>
      </c>
      <c r="E39" s="63">
        <v>10000</v>
      </c>
      <c r="F39" s="63">
        <v>10000</v>
      </c>
      <c r="G39" s="63">
        <v>20000</v>
      </c>
      <c r="H39" s="305"/>
      <c r="I39" s="302">
        <f t="shared" si="5"/>
        <v>60000</v>
      </c>
      <c r="K39" s="519">
        <v>50</v>
      </c>
      <c r="L39" s="524">
        <v>50</v>
      </c>
      <c r="N39" s="6">
        <v>0</v>
      </c>
      <c r="O39" s="92">
        <f t="shared" si="12"/>
        <v>44.938668397781726</v>
      </c>
      <c r="P39" s="92">
        <f t="shared" si="13"/>
        <v>44.938668397781726</v>
      </c>
      <c r="Q39" s="92">
        <f t="shared" si="14"/>
        <v>44.938668397781726</v>
      </c>
      <c r="R39" s="92">
        <f t="shared" si="15"/>
        <v>44.938668397781726</v>
      </c>
      <c r="S39" s="92">
        <f t="shared" si="16"/>
        <v>89.877336795563451</v>
      </c>
      <c r="U39" s="163">
        <f>(N39+1)*J39</f>
        <v>0</v>
      </c>
      <c r="V39" s="522">
        <f>(N39+1)*K39</f>
        <v>50</v>
      </c>
      <c r="W39" s="320">
        <f>(N39+1)*L39</f>
        <v>50</v>
      </c>
    </row>
    <row r="40" spans="1:23" ht="15.75">
      <c r="A40" s="104" t="s">
        <v>441</v>
      </c>
      <c r="B40" s="140" t="s">
        <v>486</v>
      </c>
      <c r="C40" s="63">
        <v>3200</v>
      </c>
      <c r="D40" s="63">
        <v>2000</v>
      </c>
      <c r="E40" s="63">
        <v>2700</v>
      </c>
      <c r="F40" s="63">
        <v>2600</v>
      </c>
      <c r="G40" s="63">
        <v>4500</v>
      </c>
      <c r="H40" s="305">
        <v>9895</v>
      </c>
      <c r="I40" s="302">
        <f t="shared" si="5"/>
        <v>15000</v>
      </c>
      <c r="J40" s="90">
        <v>48</v>
      </c>
      <c r="K40" s="519">
        <v>250</v>
      </c>
      <c r="L40" s="524">
        <v>100</v>
      </c>
      <c r="N40" s="185">
        <v>37</v>
      </c>
      <c r="O40" s="92">
        <f t="shared" ref="O40:S47" si="17">C40*1.33^($N40)/(1.6^($B$3/2))</f>
        <v>549896.42159868602</v>
      </c>
      <c r="P40" s="92">
        <f t="shared" si="17"/>
        <v>343685.26349917875</v>
      </c>
      <c r="Q40" s="92">
        <f t="shared" si="17"/>
        <v>463975.10572389135</v>
      </c>
      <c r="R40" s="92">
        <f t="shared" si="17"/>
        <v>446790.84254893236</v>
      </c>
      <c r="S40" s="92">
        <f t="shared" si="17"/>
        <v>773291.84287315211</v>
      </c>
      <c r="U40" s="163">
        <f t="shared" si="2"/>
        <v>1776</v>
      </c>
      <c r="V40" s="522">
        <f t="shared" si="3"/>
        <v>9250</v>
      </c>
      <c r="W40" s="320">
        <f t="shared" si="11"/>
        <v>3800</v>
      </c>
    </row>
    <row r="41" spans="1:23" ht="15.75">
      <c r="A41" s="104" t="s">
        <v>442</v>
      </c>
      <c r="B41" s="140" t="s">
        <v>486</v>
      </c>
      <c r="C41" s="63">
        <v>4800</v>
      </c>
      <c r="D41" s="63">
        <v>1000</v>
      </c>
      <c r="E41" s="63">
        <v>1000</v>
      </c>
      <c r="F41" s="63">
        <v>3600</v>
      </c>
      <c r="G41" s="63">
        <v>4600</v>
      </c>
      <c r="H41" s="305">
        <v>7680</v>
      </c>
      <c r="I41" s="302">
        <f t="shared" si="5"/>
        <v>15000</v>
      </c>
      <c r="J41" s="90">
        <v>50</v>
      </c>
      <c r="K41" s="519">
        <v>250</v>
      </c>
      <c r="L41" s="524">
        <v>100</v>
      </c>
      <c r="N41" s="185">
        <v>36</v>
      </c>
      <c r="O41" s="92">
        <f t="shared" si="17"/>
        <v>620183.93413385621</v>
      </c>
      <c r="P41" s="92">
        <f t="shared" si="17"/>
        <v>129204.98627788672</v>
      </c>
      <c r="Q41" s="92">
        <f t="shared" si="17"/>
        <v>129204.98627788672</v>
      </c>
      <c r="R41" s="92">
        <f t="shared" si="17"/>
        <v>465137.95060039219</v>
      </c>
      <c r="S41" s="92">
        <f t="shared" si="17"/>
        <v>594342.93687827885</v>
      </c>
      <c r="U41" s="163">
        <f t="shared" si="2"/>
        <v>1800</v>
      </c>
      <c r="V41" s="522">
        <f t="shared" si="3"/>
        <v>9000</v>
      </c>
      <c r="W41" s="320">
        <f t="shared" si="11"/>
        <v>3700</v>
      </c>
    </row>
    <row r="42" spans="1:23" ht="15.75">
      <c r="A42" s="104" t="s">
        <v>443</v>
      </c>
      <c r="B42" s="140" t="s">
        <v>486</v>
      </c>
      <c r="C42" s="63">
        <v>1700</v>
      </c>
      <c r="D42" s="63">
        <v>4800</v>
      </c>
      <c r="E42" s="63">
        <v>2300</v>
      </c>
      <c r="F42" s="63">
        <v>300</v>
      </c>
      <c r="G42" s="63">
        <v>5900</v>
      </c>
      <c r="H42" s="305">
        <v>21180</v>
      </c>
      <c r="I42" s="302">
        <f t="shared" si="5"/>
        <v>15000</v>
      </c>
      <c r="J42" s="90">
        <v>30</v>
      </c>
      <c r="K42" s="519">
        <v>150</v>
      </c>
      <c r="L42" s="524">
        <v>50</v>
      </c>
      <c r="N42" s="185">
        <v>33</v>
      </c>
      <c r="O42" s="92">
        <f t="shared" si="17"/>
        <v>93362.672045201791</v>
      </c>
      <c r="P42" s="92">
        <f t="shared" si="17"/>
        <v>263612.25048056978</v>
      </c>
      <c r="Q42" s="92">
        <f t="shared" si="17"/>
        <v>126314.20335527301</v>
      </c>
      <c r="R42" s="92">
        <f t="shared" si="17"/>
        <v>16475.765655035611</v>
      </c>
      <c r="S42" s="92">
        <f t="shared" si="17"/>
        <v>324023.39121570037</v>
      </c>
      <c r="U42" s="163">
        <f t="shared" si="2"/>
        <v>990</v>
      </c>
      <c r="V42" s="522">
        <f t="shared" si="3"/>
        <v>4950</v>
      </c>
      <c r="W42" s="320">
        <f t="shared" si="11"/>
        <v>1700</v>
      </c>
    </row>
    <row r="43" spans="1:23">
      <c r="A43" s="143" t="s">
        <v>719</v>
      </c>
      <c r="B43">
        <v>0</v>
      </c>
      <c r="C43" s="63">
        <v>2000</v>
      </c>
      <c r="D43" s="63">
        <v>2000</v>
      </c>
      <c r="E43" s="63">
        <v>2000</v>
      </c>
      <c r="F43" s="63">
        <v>2000</v>
      </c>
      <c r="G43" s="63">
        <v>4000</v>
      </c>
      <c r="H43" s="305">
        <v>50000</v>
      </c>
      <c r="I43" s="302">
        <f t="shared" si="5"/>
        <v>12000</v>
      </c>
      <c r="K43" s="519">
        <v>50</v>
      </c>
      <c r="L43" s="524">
        <v>50</v>
      </c>
      <c r="N43" s="6">
        <v>0</v>
      </c>
      <c r="O43" s="92">
        <f t="shared" si="17"/>
        <v>8.9877336795563458</v>
      </c>
      <c r="P43" s="92">
        <f t="shared" si="17"/>
        <v>8.9877336795563458</v>
      </c>
      <c r="Q43" s="92">
        <f t="shared" si="17"/>
        <v>8.9877336795563458</v>
      </c>
      <c r="R43" s="92">
        <f t="shared" si="17"/>
        <v>8.9877336795563458</v>
      </c>
      <c r="S43" s="92">
        <f t="shared" si="17"/>
        <v>17.975467359112692</v>
      </c>
      <c r="U43" s="163">
        <f>(N43+1)*J43</f>
        <v>0</v>
      </c>
      <c r="V43" s="522">
        <f>(N43+1)*K43</f>
        <v>50</v>
      </c>
      <c r="W43" s="320">
        <f>(N43+1)*L43</f>
        <v>50</v>
      </c>
    </row>
    <row r="44" spans="1:23" ht="15.75">
      <c r="A44" s="104" t="s">
        <v>720</v>
      </c>
      <c r="B44" s="140" t="s">
        <v>486</v>
      </c>
      <c r="C44" s="63">
        <v>2300</v>
      </c>
      <c r="D44" s="63">
        <v>500</v>
      </c>
      <c r="E44" s="63">
        <v>800</v>
      </c>
      <c r="F44" s="63">
        <v>4000</v>
      </c>
      <c r="G44" s="63">
        <v>2400</v>
      </c>
      <c r="H44" s="305">
        <v>24300</v>
      </c>
      <c r="I44" s="302">
        <f t="shared" si="5"/>
        <v>10000</v>
      </c>
      <c r="J44" s="90">
        <v>80</v>
      </c>
      <c r="K44" s="519">
        <v>100</v>
      </c>
      <c r="L44" s="524">
        <v>50</v>
      </c>
      <c r="N44" s="185">
        <v>32</v>
      </c>
      <c r="O44" s="92">
        <f t="shared" si="17"/>
        <v>94973.085229528588</v>
      </c>
      <c r="P44" s="92">
        <f t="shared" si="17"/>
        <v>20646.322875984475</v>
      </c>
      <c r="Q44" s="92">
        <f t="shared" si="17"/>
        <v>33034.116601575159</v>
      </c>
      <c r="R44" s="92">
        <f t="shared" si="17"/>
        <v>165170.5830078758</v>
      </c>
      <c r="S44" s="92">
        <f t="shared" si="17"/>
        <v>99102.349804725469</v>
      </c>
      <c r="U44" s="163">
        <f t="shared" si="2"/>
        <v>2560</v>
      </c>
      <c r="V44" s="522">
        <f t="shared" si="3"/>
        <v>3200</v>
      </c>
      <c r="W44" s="320">
        <f t="shared" si="11"/>
        <v>1650</v>
      </c>
    </row>
    <row r="45" spans="1:23" ht="15.75">
      <c r="A45" s="104" t="s">
        <v>721</v>
      </c>
      <c r="B45" s="140" t="s">
        <v>486</v>
      </c>
      <c r="C45" s="63">
        <v>1000</v>
      </c>
      <c r="D45" s="63">
        <v>1000</v>
      </c>
      <c r="E45" s="63">
        <v>3600</v>
      </c>
      <c r="F45" s="63">
        <v>1000</v>
      </c>
      <c r="G45" s="63">
        <v>3400</v>
      </c>
      <c r="H45" s="305">
        <v>32698</v>
      </c>
      <c r="I45" s="302">
        <f t="shared" si="5"/>
        <v>10000</v>
      </c>
      <c r="J45" s="90">
        <v>80</v>
      </c>
      <c r="K45" s="519">
        <v>150</v>
      </c>
      <c r="L45" s="524">
        <v>100</v>
      </c>
      <c r="N45" s="185">
        <v>32</v>
      </c>
      <c r="O45" s="92">
        <f t="shared" si="17"/>
        <v>41292.64575196895</v>
      </c>
      <c r="P45" s="92">
        <f t="shared" si="17"/>
        <v>41292.64575196895</v>
      </c>
      <c r="Q45" s="92">
        <f t="shared" si="17"/>
        <v>148653.52470708822</v>
      </c>
      <c r="R45" s="92">
        <f t="shared" si="17"/>
        <v>41292.64575196895</v>
      </c>
      <c r="S45" s="92">
        <f t="shared" si="17"/>
        <v>140394.99555669443</v>
      </c>
      <c r="U45" s="163">
        <f t="shared" si="2"/>
        <v>2560</v>
      </c>
      <c r="V45" s="522">
        <f t="shared" si="3"/>
        <v>4800</v>
      </c>
      <c r="W45" s="320">
        <f t="shared" si="11"/>
        <v>3300</v>
      </c>
    </row>
    <row r="46" spans="1:23" ht="15.75">
      <c r="A46" s="104" t="s">
        <v>444</v>
      </c>
      <c r="B46" s="140" t="s">
        <v>486</v>
      </c>
      <c r="C46" s="63">
        <v>3700</v>
      </c>
      <c r="D46" s="63">
        <v>200</v>
      </c>
      <c r="E46" s="63">
        <v>1800</v>
      </c>
      <c r="F46" s="63">
        <v>300</v>
      </c>
      <c r="G46" s="63">
        <v>4000</v>
      </c>
      <c r="H46" s="305">
        <v>26935</v>
      </c>
      <c r="I46" s="302">
        <f t="shared" si="5"/>
        <v>10000</v>
      </c>
      <c r="J46" s="90">
        <v>126</v>
      </c>
      <c r="K46" s="519">
        <v>100</v>
      </c>
      <c r="L46" s="524">
        <v>50</v>
      </c>
      <c r="N46" s="185">
        <v>32</v>
      </c>
      <c r="O46" s="92">
        <f t="shared" si="17"/>
        <v>152782.78928228511</v>
      </c>
      <c r="P46" s="92">
        <f t="shared" si="17"/>
        <v>8258.5291503937897</v>
      </c>
      <c r="Q46" s="92">
        <f t="shared" si="17"/>
        <v>74326.762353544109</v>
      </c>
      <c r="R46" s="92">
        <f t="shared" si="17"/>
        <v>12387.793725590684</v>
      </c>
      <c r="S46" s="92">
        <f t="shared" si="17"/>
        <v>165170.5830078758</v>
      </c>
      <c r="U46" s="163">
        <f t="shared" si="2"/>
        <v>4032</v>
      </c>
      <c r="V46" s="522">
        <f t="shared" si="3"/>
        <v>3200</v>
      </c>
      <c r="W46" s="320">
        <f t="shared" si="11"/>
        <v>1650</v>
      </c>
    </row>
    <row r="47" spans="1:23" ht="15.75">
      <c r="A47" s="104" t="s">
        <v>722</v>
      </c>
      <c r="B47" s="140" t="s">
        <v>486</v>
      </c>
      <c r="C47" s="63">
        <v>1400</v>
      </c>
      <c r="D47" s="63">
        <v>3500</v>
      </c>
      <c r="E47" s="63">
        <v>100</v>
      </c>
      <c r="F47" s="63">
        <v>1500</v>
      </c>
      <c r="G47" s="63">
        <v>3500</v>
      </c>
      <c r="H47" s="306">
        <v>30210</v>
      </c>
      <c r="I47" s="312">
        <f t="shared" si="5"/>
        <v>10000</v>
      </c>
      <c r="J47" s="90">
        <v>80</v>
      </c>
      <c r="K47" s="519">
        <v>150</v>
      </c>
      <c r="L47" s="524">
        <v>100</v>
      </c>
      <c r="N47" s="185">
        <v>34</v>
      </c>
      <c r="O47" s="92">
        <f t="shared" si="17"/>
        <v>102259.58549892102</v>
      </c>
      <c r="P47" s="92">
        <f t="shared" si="17"/>
        <v>255648.96374730257</v>
      </c>
      <c r="Q47" s="92">
        <f t="shared" si="17"/>
        <v>7304.2561070657875</v>
      </c>
      <c r="R47" s="92">
        <f t="shared" si="17"/>
        <v>109563.84160598682</v>
      </c>
      <c r="S47" s="92">
        <f t="shared" si="17"/>
        <v>255648.96374730257</v>
      </c>
      <c r="U47" s="163">
        <f t="shared" si="2"/>
        <v>2720</v>
      </c>
      <c r="V47" s="522">
        <f t="shared" si="3"/>
        <v>5100</v>
      </c>
      <c r="W47" s="320">
        <f t="shared" si="11"/>
        <v>3500</v>
      </c>
    </row>
    <row r="48" spans="1:23" ht="15.75">
      <c r="A48" s="104"/>
      <c r="B48" s="140"/>
      <c r="C48" s="63"/>
      <c r="D48" s="63"/>
      <c r="E48" s="63"/>
      <c r="F48" s="63"/>
      <c r="G48" s="63"/>
      <c r="H48" s="105"/>
      <c r="N48" s="76"/>
      <c r="O48" s="92"/>
      <c r="P48" s="92"/>
      <c r="Q48" s="92"/>
      <c r="R48" s="92"/>
      <c r="S48" s="92"/>
      <c r="U48" s="322">
        <f>SUM(U17:U47)</f>
        <v>72124</v>
      </c>
      <c r="V48" s="523">
        <f>SUM(V17:V47)</f>
        <v>129450</v>
      </c>
      <c r="W48" s="321">
        <f>SUM(W17:W47)</f>
        <v>61200</v>
      </c>
    </row>
    <row r="49" spans="1:23" ht="15.75">
      <c r="A49" s="104"/>
      <c r="B49" s="140"/>
      <c r="C49" s="90"/>
      <c r="D49" s="90"/>
      <c r="E49" s="90"/>
      <c r="F49" s="90"/>
      <c r="G49" s="90"/>
      <c r="N49" s="75"/>
      <c r="O49" s="92"/>
      <c r="P49" s="92"/>
      <c r="Q49" s="92"/>
      <c r="R49" s="92"/>
      <c r="S49" s="92"/>
      <c r="U49" s="163"/>
      <c r="V49" s="522"/>
      <c r="W49" s="320"/>
    </row>
    <row r="50" spans="1:23">
      <c r="A50" s="145" t="s">
        <v>487</v>
      </c>
      <c r="B50">
        <v>0</v>
      </c>
      <c r="C50" s="63">
        <v>485</v>
      </c>
      <c r="D50" s="63">
        <v>695</v>
      </c>
      <c r="E50" s="63">
        <v>890</v>
      </c>
      <c r="F50" s="63">
        <v>475</v>
      </c>
      <c r="G50" s="63">
        <v>665</v>
      </c>
      <c r="H50" s="304">
        <v>3210</v>
      </c>
      <c r="I50" s="303">
        <f t="shared" ref="I50:I81" si="18">C50+D50+E50+F50+G50</f>
        <v>3210</v>
      </c>
      <c r="J50" s="90">
        <v>0</v>
      </c>
      <c r="K50" s="519">
        <v>0</v>
      </c>
      <c r="L50" s="524">
        <v>0</v>
      </c>
      <c r="N50" s="6">
        <v>0</v>
      </c>
      <c r="O50" s="92">
        <f t="shared" ref="O50:S51" si="19">C50*1.33^($N50)/(1.6^($B$3/2))</f>
        <v>2.1795254172924139</v>
      </c>
      <c r="P50" s="92">
        <f t="shared" si="19"/>
        <v>3.1232374536458298</v>
      </c>
      <c r="Q50" s="92">
        <f t="shared" si="19"/>
        <v>3.9995414874025736</v>
      </c>
      <c r="R50" s="92">
        <f t="shared" si="19"/>
        <v>2.1345867488946322</v>
      </c>
      <c r="S50" s="92">
        <f t="shared" si="19"/>
        <v>2.9884214484524847</v>
      </c>
      <c r="U50" s="163">
        <f>(N50+1)*J50</f>
        <v>0</v>
      </c>
      <c r="V50" s="522">
        <f>(N50+1)*K50</f>
        <v>0</v>
      </c>
      <c r="W50" s="320">
        <f>(N50+1)*L50</f>
        <v>0</v>
      </c>
    </row>
    <row r="51" spans="1:23">
      <c r="A51" s="146" t="s">
        <v>488</v>
      </c>
      <c r="B51">
        <v>0</v>
      </c>
      <c r="C51" s="63">
        <v>4265</v>
      </c>
      <c r="D51" s="63">
        <v>5385</v>
      </c>
      <c r="E51" s="63">
        <v>3440</v>
      </c>
      <c r="F51" s="63">
        <v>1890</v>
      </c>
      <c r="G51" s="63">
        <v>3450</v>
      </c>
      <c r="H51" s="305">
        <v>18430</v>
      </c>
      <c r="I51" s="302">
        <f t="shared" si="18"/>
        <v>18430</v>
      </c>
      <c r="J51" s="90">
        <v>32</v>
      </c>
      <c r="K51" s="519">
        <v>25</v>
      </c>
      <c r="L51" s="524">
        <v>50</v>
      </c>
      <c r="N51" s="6">
        <v>0</v>
      </c>
      <c r="O51" s="92">
        <f t="shared" si="19"/>
        <v>19.166342071653908</v>
      </c>
      <c r="P51" s="92">
        <f t="shared" si="19"/>
        <v>24.19947293220546</v>
      </c>
      <c r="Q51" s="92">
        <f t="shared" si="19"/>
        <v>15.458901928836914</v>
      </c>
      <c r="R51" s="92">
        <f t="shared" si="19"/>
        <v>8.493408327180747</v>
      </c>
      <c r="S51" s="92">
        <f t="shared" si="19"/>
        <v>15.503840597234696</v>
      </c>
      <c r="U51" s="163">
        <f>(N51+1)*J51</f>
        <v>32</v>
      </c>
      <c r="V51" s="522">
        <f>(N51+1)*K51</f>
        <v>25</v>
      </c>
      <c r="W51" s="320">
        <f>(N51+1)*L51</f>
        <v>50</v>
      </c>
    </row>
    <row r="52" spans="1:23">
      <c r="A52" s="146" t="s">
        <v>743</v>
      </c>
      <c r="B52">
        <v>0</v>
      </c>
      <c r="C52" s="63">
        <v>50000</v>
      </c>
      <c r="D52" s="63">
        <v>50000</v>
      </c>
      <c r="E52" s="63">
        <v>50000</v>
      </c>
      <c r="F52" s="63">
        <v>50000</v>
      </c>
      <c r="G52" s="63">
        <v>50000</v>
      </c>
      <c r="H52" s="305"/>
      <c r="I52" s="302">
        <f t="shared" si="18"/>
        <v>250000</v>
      </c>
      <c r="K52" s="519">
        <v>25</v>
      </c>
      <c r="L52" s="524">
        <v>100</v>
      </c>
      <c r="N52" s="6">
        <v>0</v>
      </c>
      <c r="O52" s="92">
        <f t="shared" ref="O52:O61" si="20">C52*1.33^($N52)/(1.6^($B$3/2))</f>
        <v>224.69334198890863</v>
      </c>
      <c r="P52" s="92">
        <f t="shared" ref="P52:P61" si="21">D52*1.33^($N52)/(1.6^($B$3/2))</f>
        <v>224.69334198890863</v>
      </c>
      <c r="Q52" s="92">
        <f t="shared" ref="Q52:Q61" si="22">E52*1.33^($N52)/(1.6^($B$3/2))</f>
        <v>224.69334198890863</v>
      </c>
      <c r="R52" s="92">
        <f t="shared" ref="R52:R61" si="23">F52*1.33^($N52)/(1.6^($B$3/2))</f>
        <v>224.69334198890863</v>
      </c>
      <c r="S52" s="92">
        <f t="shared" ref="S52:S61" si="24">G52*1.33^($N52)/(1.6^($B$3/2))</f>
        <v>224.69334198890863</v>
      </c>
      <c r="U52" s="163">
        <f>(N52+1)*J52</f>
        <v>0</v>
      </c>
      <c r="V52" s="522">
        <f>(N52+1)*K52</f>
        <v>25</v>
      </c>
      <c r="W52" s="320">
        <f>(N52+1)*L52</f>
        <v>100</v>
      </c>
    </row>
    <row r="53" spans="1:23" ht="15.75">
      <c r="A53" s="144" t="s">
        <v>745</v>
      </c>
      <c r="B53" s="140" t="s">
        <v>486</v>
      </c>
      <c r="C53" s="63">
        <v>200000</v>
      </c>
      <c r="D53" s="63">
        <v>40000</v>
      </c>
      <c r="E53" s="63">
        <v>200000</v>
      </c>
      <c r="F53" s="63">
        <v>40000</v>
      </c>
      <c r="G53" s="63">
        <v>20000</v>
      </c>
      <c r="H53" s="305"/>
      <c r="I53" s="302">
        <f t="shared" si="18"/>
        <v>500000</v>
      </c>
      <c r="K53" s="519">
        <v>30</v>
      </c>
      <c r="L53" s="524">
        <v>100</v>
      </c>
      <c r="N53" s="185">
        <v>1</v>
      </c>
      <c r="O53" s="92">
        <f t="shared" si="20"/>
        <v>1195.3685793809939</v>
      </c>
      <c r="P53" s="92">
        <f t="shared" si="21"/>
        <v>239.07371587619878</v>
      </c>
      <c r="Q53" s="92">
        <f t="shared" si="22"/>
        <v>1195.3685793809939</v>
      </c>
      <c r="R53" s="92">
        <f t="shared" si="23"/>
        <v>239.07371587619878</v>
      </c>
      <c r="S53" s="92">
        <f t="shared" si="24"/>
        <v>119.53685793809939</v>
      </c>
      <c r="U53" s="163">
        <f t="shared" si="2"/>
        <v>0</v>
      </c>
      <c r="V53" s="522">
        <f t="shared" si="3"/>
        <v>30</v>
      </c>
      <c r="W53" s="320">
        <f>N53*L53</f>
        <v>100</v>
      </c>
    </row>
    <row r="54" spans="1:23" ht="15.75">
      <c r="A54" s="144" t="s">
        <v>744</v>
      </c>
      <c r="B54" s="140" t="s">
        <v>486</v>
      </c>
      <c r="C54" s="63">
        <v>100000</v>
      </c>
      <c r="D54" s="63">
        <v>300000</v>
      </c>
      <c r="E54" s="63">
        <v>0</v>
      </c>
      <c r="F54" s="63">
        <v>20000</v>
      </c>
      <c r="G54" s="63">
        <v>80000</v>
      </c>
      <c r="H54" s="305"/>
      <c r="I54" s="302">
        <f t="shared" si="18"/>
        <v>500000</v>
      </c>
      <c r="K54" s="519">
        <v>30</v>
      </c>
      <c r="L54" s="524">
        <v>100</v>
      </c>
      <c r="N54" s="185">
        <v>1</v>
      </c>
      <c r="O54" s="92">
        <f t="shared" si="20"/>
        <v>597.68428969049694</v>
      </c>
      <c r="P54" s="92">
        <f t="shared" si="21"/>
        <v>1793.0528690714909</v>
      </c>
      <c r="Q54" s="92">
        <f t="shared" si="22"/>
        <v>0</v>
      </c>
      <c r="R54" s="92">
        <f t="shared" si="23"/>
        <v>119.53685793809939</v>
      </c>
      <c r="S54" s="92">
        <f t="shared" si="24"/>
        <v>478.14743175239755</v>
      </c>
      <c r="U54" s="163">
        <f t="shared" si="2"/>
        <v>0</v>
      </c>
      <c r="V54" s="522">
        <f t="shared" si="3"/>
        <v>30</v>
      </c>
      <c r="W54" s="320">
        <f t="shared" ref="W54:W81" si="25">N54*L54</f>
        <v>100</v>
      </c>
    </row>
    <row r="55" spans="1:23">
      <c r="A55" s="146" t="s">
        <v>817</v>
      </c>
      <c r="B55">
        <v>0</v>
      </c>
      <c r="C55" s="63">
        <v>500000</v>
      </c>
      <c r="D55" s="63">
        <v>500000</v>
      </c>
      <c r="E55" s="63">
        <v>500000</v>
      </c>
      <c r="F55" s="63">
        <v>500000</v>
      </c>
      <c r="G55" s="63">
        <v>500000</v>
      </c>
      <c r="H55" s="305"/>
      <c r="I55" s="302">
        <f t="shared" si="18"/>
        <v>2500000</v>
      </c>
      <c r="L55" s="524">
        <v>150</v>
      </c>
      <c r="N55" s="6">
        <v>0</v>
      </c>
      <c r="O55" s="92">
        <f t="shared" si="20"/>
        <v>2246.9334198890865</v>
      </c>
      <c r="P55" s="92">
        <f t="shared" si="21"/>
        <v>2246.9334198890865</v>
      </c>
      <c r="Q55" s="92">
        <f t="shared" si="22"/>
        <v>2246.9334198890865</v>
      </c>
      <c r="R55" s="92">
        <f t="shared" si="23"/>
        <v>2246.9334198890865</v>
      </c>
      <c r="S55" s="92">
        <f t="shared" si="24"/>
        <v>2246.9334198890865</v>
      </c>
      <c r="U55" s="163">
        <f>(N55+1)*J55</f>
        <v>0</v>
      </c>
      <c r="V55" s="522">
        <f>(N55+1)*K55</f>
        <v>0</v>
      </c>
      <c r="W55" s="320">
        <f>(N55+1)*L55</f>
        <v>150</v>
      </c>
    </row>
    <row r="56" spans="1:23" ht="15.75">
      <c r="A56" s="144" t="s">
        <v>818</v>
      </c>
      <c r="B56" s="140" t="s">
        <v>486</v>
      </c>
      <c r="C56" s="63">
        <v>999999</v>
      </c>
      <c r="D56" s="63">
        <v>999999</v>
      </c>
      <c r="E56" s="63">
        <v>999999</v>
      </c>
      <c r="F56" s="63">
        <v>999999</v>
      </c>
      <c r="G56" s="63">
        <v>999999</v>
      </c>
      <c r="H56" s="305"/>
      <c r="I56" s="302">
        <f t="shared" si="18"/>
        <v>4999995</v>
      </c>
      <c r="L56" s="524">
        <v>150</v>
      </c>
      <c r="N56" s="185">
        <v>20</v>
      </c>
      <c r="O56" s="92">
        <f t="shared" si="20"/>
        <v>1347884.2061884513</v>
      </c>
      <c r="P56" s="92">
        <f t="shared" si="21"/>
        <v>1347884.2061884513</v>
      </c>
      <c r="Q56" s="92">
        <f t="shared" si="22"/>
        <v>1347884.2061884513</v>
      </c>
      <c r="R56" s="92">
        <f t="shared" si="23"/>
        <v>1347884.2061884513</v>
      </c>
      <c r="S56" s="92">
        <f t="shared" si="24"/>
        <v>1347884.2061884513</v>
      </c>
      <c r="U56" s="163">
        <f t="shared" si="2"/>
        <v>0</v>
      </c>
      <c r="V56" s="522">
        <f t="shared" si="3"/>
        <v>0</v>
      </c>
      <c r="W56" s="320">
        <f t="shared" si="25"/>
        <v>3000</v>
      </c>
    </row>
    <row r="57" spans="1:23" ht="15.75">
      <c r="A57" s="144" t="s">
        <v>819</v>
      </c>
      <c r="B57" s="140" t="s">
        <v>486</v>
      </c>
      <c r="C57" s="63">
        <v>999999</v>
      </c>
      <c r="D57" s="63">
        <v>999999</v>
      </c>
      <c r="E57" s="63">
        <v>999999</v>
      </c>
      <c r="F57" s="63">
        <v>999999</v>
      </c>
      <c r="G57" s="63">
        <v>999999</v>
      </c>
      <c r="H57" s="305"/>
      <c r="I57" s="302">
        <f t="shared" si="18"/>
        <v>4999995</v>
      </c>
      <c r="L57" s="524">
        <v>150</v>
      </c>
      <c r="N57" s="185">
        <v>20</v>
      </c>
      <c r="O57" s="92">
        <f t="shared" si="20"/>
        <v>1347884.2061884513</v>
      </c>
      <c r="P57" s="92">
        <f t="shared" si="21"/>
        <v>1347884.2061884513</v>
      </c>
      <c r="Q57" s="92">
        <f t="shared" si="22"/>
        <v>1347884.2061884513</v>
      </c>
      <c r="R57" s="92">
        <f t="shared" si="23"/>
        <v>1347884.2061884513</v>
      </c>
      <c r="S57" s="92">
        <f t="shared" si="24"/>
        <v>1347884.2061884513</v>
      </c>
      <c r="U57" s="163">
        <f t="shared" si="2"/>
        <v>0</v>
      </c>
      <c r="V57" s="522">
        <f t="shared" si="3"/>
        <v>0</v>
      </c>
      <c r="W57" s="320">
        <f t="shared" si="25"/>
        <v>3000</v>
      </c>
    </row>
    <row r="58" spans="1:23">
      <c r="A58" s="146" t="s">
        <v>712</v>
      </c>
      <c r="B58">
        <v>0</v>
      </c>
      <c r="C58" s="63">
        <v>20000</v>
      </c>
      <c r="D58" s="63">
        <v>20000</v>
      </c>
      <c r="E58" s="63">
        <v>20000</v>
      </c>
      <c r="F58" s="63">
        <v>20000</v>
      </c>
      <c r="G58" s="63">
        <v>20000</v>
      </c>
      <c r="H58" s="305"/>
      <c r="I58" s="302">
        <f t="shared" ref="I58:I60" si="26">C58+D58+E58+F58+G58</f>
        <v>100000</v>
      </c>
      <c r="K58" s="519">
        <v>25</v>
      </c>
      <c r="L58" s="524">
        <v>50</v>
      </c>
      <c r="N58" s="6">
        <v>0</v>
      </c>
      <c r="O58" s="92">
        <f t="shared" ref="O58:O60" si="27">C58*1.33^($N58)/(1.6^($B$3/2))</f>
        <v>89.877336795563451</v>
      </c>
      <c r="P58" s="92">
        <f t="shared" ref="P58:P60" si="28">D58*1.33^($N58)/(1.6^($B$3/2))</f>
        <v>89.877336795563451</v>
      </c>
      <c r="Q58" s="92">
        <f t="shared" ref="Q58:Q60" si="29">E58*1.33^($N58)/(1.6^($B$3/2))</f>
        <v>89.877336795563451</v>
      </c>
      <c r="R58" s="92">
        <f t="shared" ref="R58:R60" si="30">F58*1.33^($N58)/(1.6^($B$3/2))</f>
        <v>89.877336795563451</v>
      </c>
      <c r="S58" s="92">
        <f t="shared" ref="S58:S60" si="31">G58*1.33^($N58)/(1.6^($B$3/2))</f>
        <v>89.877336795563451</v>
      </c>
      <c r="U58" s="163">
        <f>(N58+1)*J58</f>
        <v>0</v>
      </c>
      <c r="V58" s="522">
        <f>(N58+1)*K58</f>
        <v>25</v>
      </c>
      <c r="W58" s="320">
        <f>(N58+1)*L58</f>
        <v>50</v>
      </c>
    </row>
    <row r="59" spans="1:23" ht="15.75">
      <c r="A59" s="144" t="s">
        <v>723</v>
      </c>
      <c r="B59" s="140" t="s">
        <v>486</v>
      </c>
      <c r="C59" s="63">
        <v>20000</v>
      </c>
      <c r="D59" s="63">
        <v>20000</v>
      </c>
      <c r="E59" s="63">
        <v>20000</v>
      </c>
      <c r="F59" s="63">
        <v>20000</v>
      </c>
      <c r="G59" s="63">
        <v>20000</v>
      </c>
      <c r="H59" s="305"/>
      <c r="I59" s="302">
        <f t="shared" si="26"/>
        <v>100000</v>
      </c>
      <c r="K59" s="519">
        <v>20</v>
      </c>
      <c r="L59" s="524">
        <v>50</v>
      </c>
      <c r="N59" s="185">
        <v>0</v>
      </c>
      <c r="O59" s="92">
        <f t="shared" si="27"/>
        <v>89.877336795563451</v>
      </c>
      <c r="P59" s="92">
        <f t="shared" si="28"/>
        <v>89.877336795563451</v>
      </c>
      <c r="Q59" s="92">
        <f t="shared" si="29"/>
        <v>89.877336795563451</v>
      </c>
      <c r="R59" s="92">
        <f t="shared" si="30"/>
        <v>89.877336795563451</v>
      </c>
      <c r="S59" s="92">
        <f t="shared" si="31"/>
        <v>89.877336795563451</v>
      </c>
      <c r="U59" s="163">
        <f t="shared" ref="U59:U60" si="32">N59*J59</f>
        <v>0</v>
      </c>
      <c r="V59" s="522">
        <f t="shared" ref="V59:V60" si="33">N59*K59</f>
        <v>0</v>
      </c>
      <c r="W59" s="320">
        <f t="shared" ref="W59:W60" si="34">N59*L59</f>
        <v>0</v>
      </c>
    </row>
    <row r="60" spans="1:23" ht="15.75">
      <c r="A60" s="144" t="s">
        <v>724</v>
      </c>
      <c r="B60" s="140" t="s">
        <v>486</v>
      </c>
      <c r="C60" s="63">
        <v>15000</v>
      </c>
      <c r="D60" s="63">
        <v>15000</v>
      </c>
      <c r="E60" s="63">
        <v>42000</v>
      </c>
      <c r="F60" s="63">
        <v>24000</v>
      </c>
      <c r="G60" s="63">
        <v>4000</v>
      </c>
      <c r="H60" s="305"/>
      <c r="I60" s="302">
        <f t="shared" si="26"/>
        <v>100000</v>
      </c>
      <c r="K60" s="519">
        <v>20</v>
      </c>
      <c r="L60" s="524">
        <v>50</v>
      </c>
      <c r="N60" s="185">
        <v>0</v>
      </c>
      <c r="O60" s="92">
        <f t="shared" si="27"/>
        <v>67.408002596672588</v>
      </c>
      <c r="P60" s="92">
        <f t="shared" si="28"/>
        <v>67.408002596672588</v>
      </c>
      <c r="Q60" s="92">
        <f t="shared" si="29"/>
        <v>188.74240727068326</v>
      </c>
      <c r="R60" s="92">
        <f t="shared" si="30"/>
        <v>107.85280415467614</v>
      </c>
      <c r="S60" s="92">
        <f t="shared" si="31"/>
        <v>17.975467359112692</v>
      </c>
      <c r="U60" s="163">
        <f t="shared" si="32"/>
        <v>0</v>
      </c>
      <c r="V60" s="522">
        <f t="shared" si="33"/>
        <v>0</v>
      </c>
      <c r="W60" s="320">
        <f t="shared" si="34"/>
        <v>0</v>
      </c>
    </row>
    <row r="61" spans="1:23">
      <c r="A61" s="146" t="s">
        <v>711</v>
      </c>
      <c r="B61">
        <v>0</v>
      </c>
      <c r="C61" s="63">
        <v>2000</v>
      </c>
      <c r="D61" s="63">
        <v>2000</v>
      </c>
      <c r="E61" s="63">
        <v>2000</v>
      </c>
      <c r="F61" s="63">
        <v>2000</v>
      </c>
      <c r="G61" s="63">
        <v>2000</v>
      </c>
      <c r="H61" s="305"/>
      <c r="I61" s="302">
        <f t="shared" si="18"/>
        <v>10000</v>
      </c>
      <c r="K61" s="519">
        <v>25</v>
      </c>
      <c r="L61" s="524">
        <v>25</v>
      </c>
      <c r="N61" s="6">
        <v>0</v>
      </c>
      <c r="O61" s="92">
        <f t="shared" si="20"/>
        <v>8.9877336795563458</v>
      </c>
      <c r="P61" s="92">
        <f t="shared" si="21"/>
        <v>8.9877336795563458</v>
      </c>
      <c r="Q61" s="92">
        <f t="shared" si="22"/>
        <v>8.9877336795563458</v>
      </c>
      <c r="R61" s="92">
        <f t="shared" si="23"/>
        <v>8.9877336795563458</v>
      </c>
      <c r="S61" s="92">
        <f t="shared" si="24"/>
        <v>8.9877336795563458</v>
      </c>
      <c r="U61" s="163">
        <f>(N61+1)*J61</f>
        <v>0</v>
      </c>
      <c r="V61" s="522">
        <f>(N61+1)*K61</f>
        <v>25</v>
      </c>
      <c r="W61" s="320">
        <f>(N61+1)*L61</f>
        <v>25</v>
      </c>
    </row>
    <row r="62" spans="1:23">
      <c r="A62" s="144" t="s">
        <v>489</v>
      </c>
      <c r="B62">
        <v>0</v>
      </c>
      <c r="C62" s="63">
        <v>80000</v>
      </c>
      <c r="D62" s="63">
        <v>30000</v>
      </c>
      <c r="E62" s="63">
        <v>100000</v>
      </c>
      <c r="F62" s="63">
        <v>35000</v>
      </c>
      <c r="G62" s="63">
        <v>30000</v>
      </c>
      <c r="H62" s="305">
        <v>275000</v>
      </c>
      <c r="I62" s="302">
        <f t="shared" si="18"/>
        <v>275000</v>
      </c>
      <c r="J62" s="90">
        <v>478</v>
      </c>
      <c r="K62" s="519">
        <v>10</v>
      </c>
      <c r="L62" s="524">
        <v>25</v>
      </c>
      <c r="N62" s="6">
        <v>0</v>
      </c>
      <c r="O62" s="92">
        <f t="shared" ref="O62:O81" si="35">C62*1.33^($N62)/(1.6^($B$3/2))</f>
        <v>359.5093471822538</v>
      </c>
      <c r="P62" s="92">
        <f t="shared" ref="P62:P81" si="36">D62*1.33^($N62)/(1.6^($B$3/2))</f>
        <v>134.81600519334518</v>
      </c>
      <c r="Q62" s="92">
        <f t="shared" ref="Q62:Q81" si="37">E62*1.33^($N62)/(1.6^($B$3/2))</f>
        <v>449.38668397781726</v>
      </c>
      <c r="R62" s="92">
        <f t="shared" ref="R62:R81" si="38">F62*1.33^($N62)/(1.6^($B$3/2))</f>
        <v>157.28533939223604</v>
      </c>
      <c r="S62" s="92">
        <f t="shared" ref="S62:S81" si="39">G62*1.33^($N62)/(1.6^($B$3/2))</f>
        <v>134.81600519334518</v>
      </c>
      <c r="U62" s="163">
        <f>(N62+1)*J62</f>
        <v>478</v>
      </c>
      <c r="V62" s="522">
        <f>(N62+1)*K62</f>
        <v>10</v>
      </c>
      <c r="W62" s="320">
        <f>(N62+1)*L62</f>
        <v>25</v>
      </c>
    </row>
    <row r="63" spans="1:23" ht="15.75">
      <c r="A63" s="144" t="s">
        <v>490</v>
      </c>
      <c r="B63" s="140" t="s">
        <v>486</v>
      </c>
      <c r="C63" s="63">
        <v>3000</v>
      </c>
      <c r="D63" s="63">
        <v>1000</v>
      </c>
      <c r="E63" s="63">
        <v>5000</v>
      </c>
      <c r="F63" s="63">
        <v>800</v>
      </c>
      <c r="G63" s="63">
        <v>200</v>
      </c>
      <c r="H63" s="305">
        <v>10880</v>
      </c>
      <c r="I63" s="302">
        <f t="shared" si="18"/>
        <v>10000</v>
      </c>
      <c r="J63" s="90">
        <v>15</v>
      </c>
      <c r="K63" s="519">
        <v>10</v>
      </c>
      <c r="L63" s="524">
        <v>25</v>
      </c>
      <c r="N63" s="185">
        <v>34</v>
      </c>
      <c r="O63" s="92">
        <f t="shared" si="35"/>
        <v>219127.68321197364</v>
      </c>
      <c r="P63" s="92">
        <f t="shared" si="36"/>
        <v>73042.561070657874</v>
      </c>
      <c r="Q63" s="92">
        <f t="shared" si="37"/>
        <v>365212.80535328935</v>
      </c>
      <c r="R63" s="92">
        <f t="shared" si="38"/>
        <v>58434.0488565263</v>
      </c>
      <c r="S63" s="92">
        <f t="shared" si="39"/>
        <v>14608.512214131575</v>
      </c>
      <c r="U63" s="163">
        <f t="shared" si="2"/>
        <v>510</v>
      </c>
      <c r="V63" s="522">
        <f t="shared" si="3"/>
        <v>340</v>
      </c>
      <c r="W63" s="320">
        <f t="shared" si="25"/>
        <v>850</v>
      </c>
    </row>
    <row r="64" spans="1:23" ht="15.75">
      <c r="A64" s="144" t="s">
        <v>491</v>
      </c>
      <c r="B64" s="140" t="s">
        <v>486</v>
      </c>
      <c r="C64" s="63">
        <v>5600</v>
      </c>
      <c r="D64" s="63">
        <v>4000</v>
      </c>
      <c r="E64" s="63">
        <v>2800</v>
      </c>
      <c r="F64" s="63">
        <v>4000</v>
      </c>
      <c r="G64" s="63">
        <v>3600</v>
      </c>
      <c r="H64" s="305">
        <v>24700</v>
      </c>
      <c r="I64" s="302">
        <f t="shared" si="18"/>
        <v>20000</v>
      </c>
      <c r="J64" s="90">
        <v>41</v>
      </c>
      <c r="K64" s="519">
        <v>10</v>
      </c>
      <c r="L64" s="524">
        <v>25</v>
      </c>
      <c r="N64" s="185">
        <v>32</v>
      </c>
      <c r="O64" s="92">
        <f t="shared" si="35"/>
        <v>231238.8162110261</v>
      </c>
      <c r="P64" s="92">
        <f t="shared" si="36"/>
        <v>165170.5830078758</v>
      </c>
      <c r="Q64" s="92">
        <f t="shared" si="37"/>
        <v>115619.40810551305</v>
      </c>
      <c r="R64" s="92">
        <f t="shared" si="38"/>
        <v>165170.5830078758</v>
      </c>
      <c r="S64" s="92">
        <f t="shared" si="39"/>
        <v>148653.52470708822</v>
      </c>
      <c r="U64" s="163">
        <f t="shared" si="2"/>
        <v>1312</v>
      </c>
      <c r="V64" s="522">
        <f t="shared" si="3"/>
        <v>320</v>
      </c>
      <c r="W64" s="320">
        <f t="shared" si="25"/>
        <v>800</v>
      </c>
    </row>
    <row r="65" spans="1:23" ht="15.75">
      <c r="A65" s="144" t="s">
        <v>492</v>
      </c>
      <c r="B65" s="140" t="s">
        <v>486</v>
      </c>
      <c r="C65" s="63">
        <v>6000</v>
      </c>
      <c r="D65" s="63">
        <v>2000</v>
      </c>
      <c r="E65" s="63">
        <v>6800</v>
      </c>
      <c r="F65" s="63">
        <v>3100</v>
      </c>
      <c r="G65" s="63">
        <v>2100</v>
      </c>
      <c r="H65" s="305">
        <v>24650</v>
      </c>
      <c r="I65" s="302">
        <f t="shared" si="18"/>
        <v>20000</v>
      </c>
      <c r="J65" s="90">
        <v>38</v>
      </c>
      <c r="K65" s="519">
        <v>10</v>
      </c>
      <c r="L65" s="524">
        <v>25</v>
      </c>
      <c r="N65" s="185">
        <v>32</v>
      </c>
      <c r="O65" s="92">
        <f t="shared" si="35"/>
        <v>247755.87451181369</v>
      </c>
      <c r="P65" s="92">
        <f t="shared" si="36"/>
        <v>82585.2915039379</v>
      </c>
      <c r="Q65" s="92">
        <f t="shared" si="37"/>
        <v>280789.99111338885</v>
      </c>
      <c r="R65" s="92">
        <f t="shared" si="38"/>
        <v>128007.20183110374</v>
      </c>
      <c r="S65" s="92">
        <f t="shared" si="39"/>
        <v>86714.556079134796</v>
      </c>
      <c r="U65" s="163">
        <f t="shared" si="2"/>
        <v>1216</v>
      </c>
      <c r="V65" s="522">
        <f t="shared" si="3"/>
        <v>320</v>
      </c>
      <c r="W65" s="320">
        <f t="shared" si="25"/>
        <v>800</v>
      </c>
    </row>
    <row r="66" spans="1:23" ht="15.75">
      <c r="A66" s="144" t="s">
        <v>493</v>
      </c>
      <c r="B66" s="140" t="s">
        <v>486</v>
      </c>
      <c r="C66" s="63">
        <v>2200</v>
      </c>
      <c r="D66" s="63">
        <v>4700</v>
      </c>
      <c r="E66" s="63">
        <v>3000</v>
      </c>
      <c r="F66" s="63">
        <v>5000</v>
      </c>
      <c r="G66" s="63">
        <v>5100</v>
      </c>
      <c r="H66" s="305">
        <v>27800</v>
      </c>
      <c r="I66" s="302">
        <f t="shared" si="18"/>
        <v>20000</v>
      </c>
      <c r="J66" s="90">
        <v>37</v>
      </c>
      <c r="K66" s="519">
        <v>10</v>
      </c>
      <c r="L66" s="524">
        <v>25</v>
      </c>
      <c r="N66" s="185">
        <v>32</v>
      </c>
      <c r="O66" s="92">
        <f t="shared" si="35"/>
        <v>90843.820654331692</v>
      </c>
      <c r="P66" s="92">
        <f t="shared" si="36"/>
        <v>194075.43503425404</v>
      </c>
      <c r="Q66" s="92">
        <f t="shared" si="37"/>
        <v>123877.93725590684</v>
      </c>
      <c r="R66" s="92">
        <f t="shared" si="38"/>
        <v>206463.22875984473</v>
      </c>
      <c r="S66" s="92">
        <f t="shared" si="39"/>
        <v>210592.49333504162</v>
      </c>
      <c r="U66" s="163">
        <f t="shared" si="2"/>
        <v>1184</v>
      </c>
      <c r="V66" s="522">
        <f t="shared" si="3"/>
        <v>320</v>
      </c>
      <c r="W66" s="320">
        <f t="shared" si="25"/>
        <v>800</v>
      </c>
    </row>
    <row r="67" spans="1:23" ht="15.75">
      <c r="A67" s="144" t="s">
        <v>494</v>
      </c>
      <c r="B67" s="140" t="s">
        <v>486</v>
      </c>
      <c r="C67" s="63">
        <v>3900</v>
      </c>
      <c r="D67" s="63">
        <v>4500</v>
      </c>
      <c r="E67" s="63">
        <v>5100</v>
      </c>
      <c r="F67" s="63">
        <v>2700</v>
      </c>
      <c r="G67" s="63">
        <v>3800</v>
      </c>
      <c r="H67" s="305">
        <v>27350</v>
      </c>
      <c r="I67" s="302">
        <f t="shared" si="18"/>
        <v>20000</v>
      </c>
      <c r="J67" s="90">
        <v>46</v>
      </c>
      <c r="K67" s="519">
        <v>10</v>
      </c>
      <c r="L67" s="524">
        <v>25</v>
      </c>
      <c r="N67" s="185">
        <v>32</v>
      </c>
      <c r="O67" s="92">
        <f t="shared" si="35"/>
        <v>161041.31843267888</v>
      </c>
      <c r="P67" s="92">
        <f t="shared" si="36"/>
        <v>185816.90588386025</v>
      </c>
      <c r="Q67" s="92">
        <f t="shared" si="37"/>
        <v>210592.49333504162</v>
      </c>
      <c r="R67" s="92">
        <f t="shared" si="38"/>
        <v>111490.14353031616</v>
      </c>
      <c r="S67" s="92">
        <f t="shared" si="39"/>
        <v>156912.05385748201</v>
      </c>
      <c r="U67" s="163">
        <f t="shared" si="2"/>
        <v>1472</v>
      </c>
      <c r="V67" s="522">
        <f t="shared" si="3"/>
        <v>320</v>
      </c>
      <c r="W67" s="320">
        <f t="shared" si="25"/>
        <v>800</v>
      </c>
    </row>
    <row r="68" spans="1:23">
      <c r="A68" s="146" t="s">
        <v>495</v>
      </c>
      <c r="B68">
        <v>0</v>
      </c>
      <c r="C68" s="63">
        <v>4860</v>
      </c>
      <c r="D68" s="63">
        <v>4220</v>
      </c>
      <c r="E68" s="63">
        <v>3680</v>
      </c>
      <c r="F68" s="63">
        <v>4000</v>
      </c>
      <c r="G68" s="63">
        <v>2850</v>
      </c>
      <c r="H68" s="305">
        <v>19610</v>
      </c>
      <c r="I68" s="302">
        <f t="shared" si="18"/>
        <v>19610</v>
      </c>
      <c r="J68" s="90">
        <v>32</v>
      </c>
      <c r="K68" s="519">
        <v>50</v>
      </c>
      <c r="L68" s="524">
        <v>50</v>
      </c>
      <c r="N68" s="6">
        <v>0</v>
      </c>
      <c r="O68" s="92">
        <f t="shared" si="35"/>
        <v>21.840192841321919</v>
      </c>
      <c r="P68" s="92">
        <f t="shared" si="36"/>
        <v>18.964118063863889</v>
      </c>
      <c r="Q68" s="92">
        <f t="shared" si="37"/>
        <v>16.537429970383677</v>
      </c>
      <c r="R68" s="92">
        <f t="shared" si="38"/>
        <v>17.975467359112692</v>
      </c>
      <c r="S68" s="92">
        <f t="shared" si="39"/>
        <v>12.807520493367791</v>
      </c>
      <c r="U68" s="163">
        <f>(N68+1)*J68</f>
        <v>32</v>
      </c>
      <c r="V68" s="522">
        <f>(N68+1)*K68</f>
        <v>50</v>
      </c>
      <c r="W68" s="320">
        <f>(N68+1)*L68</f>
        <v>50</v>
      </c>
    </row>
    <row r="69" spans="1:23">
      <c r="A69" s="144" t="s">
        <v>496</v>
      </c>
      <c r="B69">
        <v>0</v>
      </c>
      <c r="C69" s="63">
        <v>4890</v>
      </c>
      <c r="D69" s="63">
        <v>5675</v>
      </c>
      <c r="E69" s="63">
        <v>5550</v>
      </c>
      <c r="F69" s="63">
        <v>2385</v>
      </c>
      <c r="G69" s="63">
        <v>4850</v>
      </c>
      <c r="H69" s="305">
        <v>23350</v>
      </c>
      <c r="I69" s="302">
        <f t="shared" si="18"/>
        <v>23350</v>
      </c>
      <c r="J69" s="90">
        <v>39</v>
      </c>
      <c r="K69" s="519">
        <v>50</v>
      </c>
      <c r="L69" s="524">
        <v>100</v>
      </c>
      <c r="N69" s="6">
        <v>0</v>
      </c>
      <c r="O69" s="92">
        <f t="shared" si="35"/>
        <v>21.975008846515266</v>
      </c>
      <c r="P69" s="92">
        <f t="shared" si="36"/>
        <v>25.502694315741131</v>
      </c>
      <c r="Q69" s="92">
        <f t="shared" si="37"/>
        <v>24.940960960768859</v>
      </c>
      <c r="R69" s="92">
        <f t="shared" si="38"/>
        <v>10.717872412870941</v>
      </c>
      <c r="S69" s="92">
        <f t="shared" si="39"/>
        <v>21.795254172924139</v>
      </c>
      <c r="U69" s="163">
        <f>(N69+1)*J69</f>
        <v>39</v>
      </c>
      <c r="V69" s="522">
        <f>(N69+1)*K69</f>
        <v>50</v>
      </c>
      <c r="W69" s="320">
        <f>(N69+1)*L69</f>
        <v>100</v>
      </c>
    </row>
    <row r="70" spans="1:23">
      <c r="A70" s="144" t="s">
        <v>497</v>
      </c>
      <c r="B70">
        <v>0</v>
      </c>
      <c r="C70" s="63">
        <v>7890</v>
      </c>
      <c r="D70" s="63">
        <v>5650</v>
      </c>
      <c r="E70" s="63">
        <v>6465</v>
      </c>
      <c r="F70" s="63">
        <v>3465</v>
      </c>
      <c r="G70" s="63">
        <v>6335</v>
      </c>
      <c r="H70" s="305">
        <v>29805</v>
      </c>
      <c r="I70" s="302">
        <f t="shared" si="18"/>
        <v>29805</v>
      </c>
      <c r="J70" s="90">
        <v>50</v>
      </c>
      <c r="K70" s="519">
        <v>50</v>
      </c>
      <c r="L70" s="524">
        <v>200</v>
      </c>
      <c r="N70" s="6">
        <v>0</v>
      </c>
      <c r="O70" s="92">
        <f t="shared" si="35"/>
        <v>35.456609365849779</v>
      </c>
      <c r="P70" s="92">
        <f t="shared" si="36"/>
        <v>25.390347644746676</v>
      </c>
      <c r="Q70" s="92">
        <f t="shared" si="37"/>
        <v>29.052849119165884</v>
      </c>
      <c r="R70" s="92">
        <f t="shared" si="38"/>
        <v>15.571248599831367</v>
      </c>
      <c r="S70" s="92">
        <f t="shared" si="39"/>
        <v>28.468646429994724</v>
      </c>
      <c r="U70" s="163">
        <f>(N70+1)*J70</f>
        <v>50</v>
      </c>
      <c r="V70" s="522">
        <f>(N70+1)*K70</f>
        <v>50</v>
      </c>
      <c r="W70" s="320">
        <f>(N70+1)*L70</f>
        <v>200</v>
      </c>
    </row>
    <row r="71" spans="1:23" ht="15.75">
      <c r="A71" s="146" t="s">
        <v>448</v>
      </c>
      <c r="B71" s="140" t="s">
        <v>486</v>
      </c>
      <c r="C71" s="63">
        <v>13400</v>
      </c>
      <c r="D71" s="63">
        <v>8700</v>
      </c>
      <c r="E71" s="63">
        <v>8040</v>
      </c>
      <c r="F71" s="63">
        <v>7200</v>
      </c>
      <c r="G71" s="63">
        <v>10020</v>
      </c>
      <c r="H71" s="305">
        <v>47360</v>
      </c>
      <c r="I71" s="302">
        <f t="shared" si="18"/>
        <v>47360</v>
      </c>
      <c r="J71" s="90">
        <v>241</v>
      </c>
      <c r="K71" s="519">
        <v>500</v>
      </c>
      <c r="L71" s="524">
        <v>250</v>
      </c>
      <c r="N71" s="185">
        <v>37</v>
      </c>
      <c r="O71" s="92">
        <f t="shared" si="35"/>
        <v>2302691.2654444976</v>
      </c>
      <c r="P71" s="92">
        <f t="shared" si="36"/>
        <v>1495030.8962214277</v>
      </c>
      <c r="Q71" s="92">
        <f t="shared" si="37"/>
        <v>1381614.7592666985</v>
      </c>
      <c r="R71" s="92">
        <f t="shared" si="38"/>
        <v>1237266.9485970435</v>
      </c>
      <c r="S71" s="92">
        <f t="shared" si="39"/>
        <v>1721863.1701308854</v>
      </c>
      <c r="U71" s="163">
        <f t="shared" si="2"/>
        <v>8917</v>
      </c>
      <c r="V71" s="522">
        <f t="shared" si="3"/>
        <v>18500</v>
      </c>
      <c r="W71" s="320">
        <f t="shared" si="25"/>
        <v>9250</v>
      </c>
    </row>
    <row r="72" spans="1:23">
      <c r="A72" s="146" t="s">
        <v>498</v>
      </c>
      <c r="B72">
        <v>0</v>
      </c>
      <c r="C72" s="63">
        <v>8750</v>
      </c>
      <c r="D72" s="63">
        <v>6950</v>
      </c>
      <c r="E72" s="63">
        <v>6665</v>
      </c>
      <c r="F72" s="63">
        <v>3475</v>
      </c>
      <c r="G72" s="63">
        <v>5850</v>
      </c>
      <c r="H72" s="305">
        <v>31690</v>
      </c>
      <c r="I72" s="302">
        <f t="shared" si="18"/>
        <v>31690</v>
      </c>
      <c r="J72" s="90">
        <v>53</v>
      </c>
      <c r="K72" s="519">
        <v>25</v>
      </c>
      <c r="L72" s="524">
        <v>100</v>
      </c>
      <c r="N72" s="6">
        <v>0</v>
      </c>
      <c r="O72" s="92">
        <f t="shared" si="35"/>
        <v>39.32133484805901</v>
      </c>
      <c r="P72" s="92">
        <f t="shared" si="36"/>
        <v>31.232374536458298</v>
      </c>
      <c r="Q72" s="92">
        <f t="shared" si="37"/>
        <v>29.951622487121522</v>
      </c>
      <c r="R72" s="92">
        <f t="shared" si="38"/>
        <v>15.616187268229149</v>
      </c>
      <c r="S72" s="92">
        <f t="shared" si="39"/>
        <v>26.28912101270231</v>
      </c>
      <c r="U72" s="163">
        <f>(N72+1)*J72</f>
        <v>53</v>
      </c>
      <c r="V72" s="522">
        <f>(N72+1)*K72</f>
        <v>25</v>
      </c>
      <c r="W72" s="320">
        <f>(N72+1)*L72</f>
        <v>100</v>
      </c>
    </row>
    <row r="73" spans="1:23">
      <c r="A73" s="144" t="s">
        <v>499</v>
      </c>
      <c r="B73">
        <v>1</v>
      </c>
      <c r="C73" s="63">
        <v>32000</v>
      </c>
      <c r="D73" s="63">
        <v>95000</v>
      </c>
      <c r="E73" s="63">
        <v>50000</v>
      </c>
      <c r="F73" s="63">
        <v>56000</v>
      </c>
      <c r="G73" s="63">
        <v>25000</v>
      </c>
      <c r="H73" s="305">
        <v>258000</v>
      </c>
      <c r="I73" s="302">
        <f t="shared" si="18"/>
        <v>258000</v>
      </c>
      <c r="J73" s="90">
        <v>430</v>
      </c>
      <c r="K73" s="519">
        <v>500</v>
      </c>
      <c r="L73" s="524">
        <v>150</v>
      </c>
      <c r="N73" s="6">
        <v>1</v>
      </c>
      <c r="O73" s="92">
        <f t="shared" si="35"/>
        <v>191.25897270095902</v>
      </c>
      <c r="P73" s="92">
        <f t="shared" si="36"/>
        <v>567.80007520597212</v>
      </c>
      <c r="Q73" s="92">
        <f t="shared" si="37"/>
        <v>298.84214484524847</v>
      </c>
      <c r="R73" s="92">
        <f t="shared" si="38"/>
        <v>334.70320222667829</v>
      </c>
      <c r="S73" s="92">
        <f t="shared" si="39"/>
        <v>149.42107242262423</v>
      </c>
      <c r="U73" s="163">
        <f t="shared" si="2"/>
        <v>430</v>
      </c>
      <c r="V73" s="522">
        <f t="shared" si="3"/>
        <v>500</v>
      </c>
      <c r="W73" s="320">
        <f>(N73+1)*L73</f>
        <v>300</v>
      </c>
    </row>
    <row r="74" spans="1:23">
      <c r="A74" s="144" t="s">
        <v>500</v>
      </c>
      <c r="B74">
        <v>2</v>
      </c>
      <c r="C74" s="63">
        <v>45000</v>
      </c>
      <c r="D74" s="63">
        <v>45000</v>
      </c>
      <c r="E74" s="63">
        <v>60000</v>
      </c>
      <c r="F74" s="63">
        <v>80000</v>
      </c>
      <c r="G74" s="63">
        <v>40000</v>
      </c>
      <c r="H74" s="305">
        <v>270000</v>
      </c>
      <c r="I74" s="302">
        <f t="shared" si="18"/>
        <v>270000</v>
      </c>
      <c r="J74" s="90">
        <v>423</v>
      </c>
      <c r="K74" s="519">
        <v>500</v>
      </c>
      <c r="L74" s="524">
        <v>250</v>
      </c>
      <c r="N74" s="185">
        <v>2</v>
      </c>
      <c r="O74" s="92">
        <f t="shared" si="35"/>
        <v>357.71404737976241</v>
      </c>
      <c r="P74" s="92">
        <f t="shared" si="36"/>
        <v>357.71404737976241</v>
      </c>
      <c r="Q74" s="92">
        <f t="shared" si="37"/>
        <v>476.95206317301665</v>
      </c>
      <c r="R74" s="92">
        <f t="shared" si="38"/>
        <v>635.93608423068872</v>
      </c>
      <c r="S74" s="92">
        <f t="shared" si="39"/>
        <v>317.96804211534436</v>
      </c>
      <c r="U74" s="163">
        <f t="shared" si="2"/>
        <v>846</v>
      </c>
      <c r="V74" s="522">
        <f t="shared" si="3"/>
        <v>1000</v>
      </c>
      <c r="W74" s="320">
        <f t="shared" si="25"/>
        <v>500</v>
      </c>
    </row>
    <row r="75" spans="1:23">
      <c r="A75" s="146" t="s">
        <v>425</v>
      </c>
      <c r="B75">
        <v>0</v>
      </c>
      <c r="C75" s="63">
        <v>2780</v>
      </c>
      <c r="D75" s="63">
        <v>2600</v>
      </c>
      <c r="E75" s="63">
        <v>3545</v>
      </c>
      <c r="F75" s="63">
        <v>4120</v>
      </c>
      <c r="G75" s="63">
        <v>1875</v>
      </c>
      <c r="H75" s="305">
        <v>14920</v>
      </c>
      <c r="I75" s="302">
        <f t="shared" si="18"/>
        <v>14920</v>
      </c>
      <c r="J75" s="90">
        <v>23</v>
      </c>
      <c r="K75" s="519">
        <v>25</v>
      </c>
      <c r="L75" s="524">
        <v>100</v>
      </c>
      <c r="N75" s="6">
        <v>0</v>
      </c>
      <c r="O75" s="92">
        <f t="shared" si="35"/>
        <v>12.492949814583319</v>
      </c>
      <c r="P75" s="92">
        <f t="shared" si="36"/>
        <v>11.684053783423249</v>
      </c>
      <c r="Q75" s="92">
        <f t="shared" si="37"/>
        <v>15.930757947013621</v>
      </c>
      <c r="R75" s="92">
        <f t="shared" si="38"/>
        <v>18.514731379886072</v>
      </c>
      <c r="S75" s="92">
        <f t="shared" si="39"/>
        <v>8.4260003245840736</v>
      </c>
      <c r="U75" s="163">
        <f>(N75+1)*J75</f>
        <v>23</v>
      </c>
      <c r="V75" s="522">
        <f>(N75+1)*K75</f>
        <v>25</v>
      </c>
      <c r="W75" s="320">
        <f>(N75+1)*L75</f>
        <v>100</v>
      </c>
    </row>
    <row r="76" spans="1:23" ht="15.75">
      <c r="A76" s="144" t="s">
        <v>501</v>
      </c>
      <c r="B76" s="140" t="s">
        <v>486</v>
      </c>
      <c r="C76" s="63">
        <v>7850</v>
      </c>
      <c r="D76" s="63">
        <v>8450</v>
      </c>
      <c r="E76" s="63">
        <v>12550</v>
      </c>
      <c r="F76" s="63">
        <v>6980</v>
      </c>
      <c r="G76" s="63">
        <v>2730</v>
      </c>
      <c r="H76" s="305">
        <v>38560</v>
      </c>
      <c r="I76" s="302">
        <f t="shared" si="18"/>
        <v>38560</v>
      </c>
      <c r="J76" s="90">
        <v>29</v>
      </c>
      <c r="K76" s="519">
        <v>100</v>
      </c>
      <c r="L76" s="524">
        <v>150</v>
      </c>
      <c r="N76" s="185">
        <v>30</v>
      </c>
      <c r="O76" s="92">
        <f t="shared" si="35"/>
        <v>183247.9332652814</v>
      </c>
      <c r="P76" s="92">
        <f t="shared" si="36"/>
        <v>197254.14472504813</v>
      </c>
      <c r="Q76" s="92">
        <f t="shared" si="37"/>
        <v>292963.25636678748</v>
      </c>
      <c r="R76" s="92">
        <f t="shared" si="38"/>
        <v>162938.92664861964</v>
      </c>
      <c r="S76" s="92">
        <f t="shared" si="39"/>
        <v>63728.262141938634</v>
      </c>
      <c r="U76" s="163">
        <f t="shared" si="2"/>
        <v>870</v>
      </c>
      <c r="V76" s="522">
        <f t="shared" si="3"/>
        <v>3000</v>
      </c>
      <c r="W76" s="320">
        <f t="shared" si="25"/>
        <v>4500</v>
      </c>
    </row>
    <row r="77" spans="1:23">
      <c r="A77" s="144" t="s">
        <v>502</v>
      </c>
      <c r="B77">
        <v>0</v>
      </c>
      <c r="C77" s="63">
        <v>3455</v>
      </c>
      <c r="D77" s="63">
        <v>2795</v>
      </c>
      <c r="E77" s="63">
        <v>4500</v>
      </c>
      <c r="F77" s="63">
        <v>2965</v>
      </c>
      <c r="G77" s="63">
        <v>1775</v>
      </c>
      <c r="H77" s="305">
        <v>15490</v>
      </c>
      <c r="I77" s="302">
        <f t="shared" si="18"/>
        <v>15490</v>
      </c>
      <c r="J77" s="90">
        <v>25</v>
      </c>
      <c r="K77" s="519">
        <v>50</v>
      </c>
      <c r="L77" s="524">
        <v>150</v>
      </c>
      <c r="N77" s="6">
        <v>0</v>
      </c>
      <c r="O77" s="92">
        <f t="shared" si="35"/>
        <v>15.526309931433586</v>
      </c>
      <c r="P77" s="92">
        <f t="shared" si="36"/>
        <v>12.560357817179993</v>
      </c>
      <c r="Q77" s="92">
        <f t="shared" si="37"/>
        <v>20.222400779001777</v>
      </c>
      <c r="R77" s="92">
        <f t="shared" si="38"/>
        <v>13.324315179942282</v>
      </c>
      <c r="S77" s="92">
        <f t="shared" si="39"/>
        <v>7.9766136406062564</v>
      </c>
      <c r="U77" s="163">
        <f>(N77+1)*J77</f>
        <v>25</v>
      </c>
      <c r="V77" s="522">
        <f>(N77+1)*K77</f>
        <v>50</v>
      </c>
      <c r="W77" s="320">
        <f>(N77+1)*L77</f>
        <v>150</v>
      </c>
    </row>
    <row r="78" spans="1:23">
      <c r="A78" s="144" t="s">
        <v>503</v>
      </c>
      <c r="B78">
        <v>0</v>
      </c>
      <c r="C78" s="63">
        <v>4750</v>
      </c>
      <c r="D78" s="63">
        <v>3985</v>
      </c>
      <c r="E78" s="63">
        <v>7580</v>
      </c>
      <c r="F78" s="63">
        <v>3480</v>
      </c>
      <c r="G78" s="63">
        <v>4200</v>
      </c>
      <c r="H78" s="305">
        <v>23995</v>
      </c>
      <c r="I78" s="302">
        <f t="shared" si="18"/>
        <v>23995</v>
      </c>
      <c r="J78" s="90">
        <v>39</v>
      </c>
      <c r="K78" s="519">
        <v>100</v>
      </c>
      <c r="L78" s="524">
        <v>250</v>
      </c>
      <c r="N78" s="6">
        <v>0</v>
      </c>
      <c r="O78" s="92">
        <f t="shared" si="35"/>
        <v>21.345867488946318</v>
      </c>
      <c r="P78" s="92">
        <f t="shared" si="36"/>
        <v>17.908059356516016</v>
      </c>
      <c r="Q78" s="92">
        <f t="shared" si="37"/>
        <v>34.063510645518548</v>
      </c>
      <c r="R78" s="92">
        <f t="shared" si="38"/>
        <v>15.638656602428041</v>
      </c>
      <c r="S78" s="92">
        <f t="shared" si="39"/>
        <v>18.874240727068326</v>
      </c>
      <c r="U78" s="163">
        <f>(N78+1)*J78</f>
        <v>39</v>
      </c>
      <c r="V78" s="522">
        <f>(N78+1)*K78</f>
        <v>100</v>
      </c>
      <c r="W78" s="320">
        <f>(N78+1)*L78</f>
        <v>250</v>
      </c>
    </row>
    <row r="79" spans="1:23">
      <c r="A79" s="144" t="s">
        <v>504</v>
      </c>
      <c r="B79">
        <v>0</v>
      </c>
      <c r="C79" s="63">
        <v>7850</v>
      </c>
      <c r="D79" s="63">
        <v>4860</v>
      </c>
      <c r="E79" s="63">
        <v>9855</v>
      </c>
      <c r="F79" s="63">
        <v>2385</v>
      </c>
      <c r="G79" s="63">
        <v>6405</v>
      </c>
      <c r="H79" s="305">
        <v>31355</v>
      </c>
      <c r="I79" s="302">
        <f t="shared" si="18"/>
        <v>31355</v>
      </c>
      <c r="J79" s="90">
        <v>52</v>
      </c>
      <c r="K79" s="519">
        <v>250</v>
      </c>
      <c r="L79" s="524">
        <v>500</v>
      </c>
      <c r="N79" s="6">
        <v>0</v>
      </c>
      <c r="O79" s="92">
        <f t="shared" si="35"/>
        <v>35.276854692258652</v>
      </c>
      <c r="P79" s="92">
        <f t="shared" si="36"/>
        <v>21.840192841321919</v>
      </c>
      <c r="Q79" s="92">
        <f t="shared" si="37"/>
        <v>44.28705770601389</v>
      </c>
      <c r="R79" s="92">
        <f t="shared" si="38"/>
        <v>10.717872412870941</v>
      </c>
      <c r="S79" s="92">
        <f t="shared" si="39"/>
        <v>28.783217108779194</v>
      </c>
      <c r="U79" s="163">
        <f>(N79+1)*J79</f>
        <v>52</v>
      </c>
      <c r="V79" s="522">
        <f>(N79+1)*K79</f>
        <v>250</v>
      </c>
      <c r="W79" s="320">
        <f>(N79+1)*L79</f>
        <v>500</v>
      </c>
    </row>
    <row r="80" spans="1:23" ht="15.75">
      <c r="A80" s="144" t="s">
        <v>505</v>
      </c>
      <c r="B80" s="140" t="s">
        <v>486</v>
      </c>
      <c r="C80" s="63">
        <v>3135</v>
      </c>
      <c r="D80" s="63">
        <v>800</v>
      </c>
      <c r="E80" s="63">
        <v>4220</v>
      </c>
      <c r="F80" s="63">
        <v>1980</v>
      </c>
      <c r="G80" s="63">
        <v>200</v>
      </c>
      <c r="H80" s="305">
        <v>10335</v>
      </c>
      <c r="I80" s="302">
        <f t="shared" si="18"/>
        <v>10335</v>
      </c>
      <c r="J80" s="90">
        <v>15</v>
      </c>
      <c r="K80" s="519">
        <v>20</v>
      </c>
      <c r="L80" s="524">
        <v>50</v>
      </c>
      <c r="N80" s="185">
        <v>33</v>
      </c>
      <c r="O80" s="92">
        <f t="shared" si="35"/>
        <v>172171.75109512213</v>
      </c>
      <c r="P80" s="92">
        <f t="shared" si="36"/>
        <v>43935.375080094964</v>
      </c>
      <c r="Q80" s="92">
        <f t="shared" si="37"/>
        <v>231759.10354750091</v>
      </c>
      <c r="R80" s="92">
        <f t="shared" si="38"/>
        <v>108740.05332323504</v>
      </c>
      <c r="S80" s="92">
        <f t="shared" si="39"/>
        <v>10983.843770023741</v>
      </c>
      <c r="U80" s="163">
        <f>N80*J80</f>
        <v>495</v>
      </c>
      <c r="V80" s="522">
        <f>N80*K80</f>
        <v>660</v>
      </c>
      <c r="W80" s="320">
        <f t="shared" si="25"/>
        <v>1650</v>
      </c>
    </row>
    <row r="81" spans="1:23" ht="15.75">
      <c r="A81" s="144" t="s">
        <v>506</v>
      </c>
      <c r="B81" s="140" t="s">
        <v>486</v>
      </c>
      <c r="C81" s="63">
        <v>6000</v>
      </c>
      <c r="D81" s="63">
        <v>2300</v>
      </c>
      <c r="E81" s="63">
        <v>8000</v>
      </c>
      <c r="F81" s="63">
        <v>3500</v>
      </c>
      <c r="G81" s="63">
        <v>500</v>
      </c>
      <c r="H81" s="306">
        <v>20300</v>
      </c>
      <c r="I81" s="312">
        <f t="shared" si="18"/>
        <v>20300</v>
      </c>
      <c r="J81" s="90">
        <v>35</v>
      </c>
      <c r="K81" s="519">
        <v>50</v>
      </c>
      <c r="L81" s="524">
        <v>100</v>
      </c>
      <c r="N81" s="185">
        <v>31</v>
      </c>
      <c r="O81" s="92">
        <f t="shared" si="35"/>
        <v>186282.61241489748</v>
      </c>
      <c r="P81" s="92">
        <f t="shared" si="36"/>
        <v>71408.334759044039</v>
      </c>
      <c r="Q81" s="92">
        <f t="shared" si="37"/>
        <v>248376.81655319667</v>
      </c>
      <c r="R81" s="92">
        <f t="shared" si="38"/>
        <v>108664.85724202353</v>
      </c>
      <c r="S81" s="92">
        <f t="shared" si="39"/>
        <v>15523.551034574792</v>
      </c>
      <c r="U81" s="163">
        <f>N81*J81</f>
        <v>1085</v>
      </c>
      <c r="V81" s="522">
        <f>N81*K81</f>
        <v>1550</v>
      </c>
      <c r="W81" s="320">
        <f t="shared" si="25"/>
        <v>3100</v>
      </c>
    </row>
    <row r="82" spans="1:23" ht="15.75">
      <c r="A82" s="144"/>
      <c r="B82" s="140"/>
      <c r="C82" s="63"/>
      <c r="D82" s="63"/>
      <c r="E82" s="63"/>
      <c r="F82" s="63"/>
      <c r="G82" s="63"/>
      <c r="H82" s="105"/>
      <c r="N82" s="76"/>
      <c r="O82" s="92"/>
      <c r="P82" s="92"/>
      <c r="Q82" s="92"/>
      <c r="R82" s="92"/>
      <c r="S82" s="92"/>
      <c r="U82" s="322">
        <f>SUM(U50:U81)</f>
        <v>19160</v>
      </c>
      <c r="V82" s="523">
        <f>SUM(V50:V81)</f>
        <v>27600</v>
      </c>
      <c r="W82" s="321">
        <f>SUM(W50:W81)</f>
        <v>31400</v>
      </c>
    </row>
    <row r="83" spans="1:23">
      <c r="C83" s="90"/>
      <c r="D83" s="90"/>
      <c r="E83" s="90"/>
      <c r="F83" s="90"/>
      <c r="G83" s="90"/>
      <c r="N83" s="75"/>
      <c r="O83" s="92"/>
      <c r="P83" s="92"/>
      <c r="Q83" s="92"/>
      <c r="R83" s="92"/>
      <c r="S83" s="92"/>
      <c r="U83" s="163"/>
      <c r="V83" s="522"/>
      <c r="W83" s="320"/>
    </row>
    <row r="84" spans="1:23">
      <c r="A84" s="148" t="s">
        <v>507</v>
      </c>
      <c r="B84">
        <v>0</v>
      </c>
      <c r="C84" s="63">
        <v>750</v>
      </c>
      <c r="D84" s="63">
        <v>695</v>
      </c>
      <c r="E84" s="63">
        <v>385</v>
      </c>
      <c r="F84" s="63">
        <v>455</v>
      </c>
      <c r="G84" s="63">
        <v>190</v>
      </c>
      <c r="H84" s="304">
        <v>2475</v>
      </c>
      <c r="I84" s="303">
        <f t="shared" ref="I84:I122" si="40">C84+D84+E84+F84+G84</f>
        <v>2475</v>
      </c>
      <c r="J84" s="90">
        <v>0</v>
      </c>
      <c r="K84" s="519">
        <v>0</v>
      </c>
      <c r="L84" s="524">
        <v>0</v>
      </c>
      <c r="N84" s="6">
        <v>0</v>
      </c>
      <c r="O84" s="92">
        <f t="shared" ref="O84:O122" si="41">C84*1.33^($N84)/(1.6^($B$3/2))</f>
        <v>3.3704001298336292</v>
      </c>
      <c r="P84" s="92">
        <f t="shared" ref="P84:P122" si="42">D84*1.33^($N84)/(1.6^($B$3/2))</f>
        <v>3.1232374536458298</v>
      </c>
      <c r="Q84" s="92">
        <f t="shared" ref="Q84:Q122" si="43">E84*1.33^($N84)/(1.6^($B$3/2))</f>
        <v>1.7301387333145966</v>
      </c>
      <c r="R84" s="92">
        <f t="shared" ref="R84:R122" si="44">F84*1.33^($N84)/(1.6^($B$3/2))</f>
        <v>2.0447094120990688</v>
      </c>
      <c r="S84" s="92">
        <f t="shared" ref="S84:S122" si="45">G84*1.33^($N84)/(1.6^($B$3/2))</f>
        <v>0.85383469955785285</v>
      </c>
      <c r="U84" s="163">
        <f>(N84+1)*J84</f>
        <v>0</v>
      </c>
      <c r="V84" s="522">
        <f>(N84+1)*K84</f>
        <v>0</v>
      </c>
      <c r="W84" s="320">
        <f>(N84+1)*L84</f>
        <v>0</v>
      </c>
    </row>
    <row r="85" spans="1:23">
      <c r="A85" s="149" t="s">
        <v>508</v>
      </c>
      <c r="B85">
        <v>0</v>
      </c>
      <c r="C85" s="63">
        <v>3458</v>
      </c>
      <c r="D85" s="63">
        <v>3225</v>
      </c>
      <c r="E85" s="63">
        <v>2740</v>
      </c>
      <c r="F85" s="63">
        <v>2895</v>
      </c>
      <c r="G85" s="63">
        <v>3005</v>
      </c>
      <c r="H85" s="305">
        <v>15323</v>
      </c>
      <c r="I85" s="302">
        <f t="shared" si="40"/>
        <v>15323</v>
      </c>
      <c r="J85" s="90">
        <v>25</v>
      </c>
      <c r="K85" s="519">
        <v>20</v>
      </c>
      <c r="L85" s="524">
        <v>25</v>
      </c>
      <c r="N85" s="6">
        <v>0</v>
      </c>
      <c r="O85" s="92">
        <f t="shared" si="41"/>
        <v>15.53979153195292</v>
      </c>
      <c r="P85" s="92">
        <f t="shared" si="42"/>
        <v>14.492720558284606</v>
      </c>
      <c r="Q85" s="92">
        <f t="shared" si="43"/>
        <v>12.313195140992192</v>
      </c>
      <c r="R85" s="92">
        <f t="shared" si="44"/>
        <v>13.00974450115781</v>
      </c>
      <c r="S85" s="92">
        <f t="shared" si="45"/>
        <v>13.504069853533409</v>
      </c>
      <c r="U85" s="163">
        <f t="shared" ref="U85:U97" si="46">(N85+1)*J85</f>
        <v>25</v>
      </c>
      <c r="V85" s="522">
        <f t="shared" ref="V85:V97" si="47">(N85+1)*K85</f>
        <v>20</v>
      </c>
      <c r="W85" s="320">
        <f t="shared" ref="W85:W97" si="48">(N85+1)*L85</f>
        <v>25</v>
      </c>
    </row>
    <row r="86" spans="1:23">
      <c r="A86" s="147" t="s">
        <v>109</v>
      </c>
      <c r="B86">
        <v>0</v>
      </c>
      <c r="C86" s="63">
        <v>4500</v>
      </c>
      <c r="D86" s="63">
        <v>4000</v>
      </c>
      <c r="E86" s="63">
        <v>3000</v>
      </c>
      <c r="F86" s="63">
        <v>2000</v>
      </c>
      <c r="G86" s="63">
        <v>1500</v>
      </c>
      <c r="H86" s="305">
        <v>15000</v>
      </c>
      <c r="I86" s="302">
        <f t="shared" si="40"/>
        <v>15000</v>
      </c>
      <c r="J86" s="90">
        <v>14</v>
      </c>
      <c r="K86" s="519">
        <v>25</v>
      </c>
      <c r="L86" s="524">
        <v>25</v>
      </c>
      <c r="N86" s="6">
        <v>0</v>
      </c>
      <c r="O86" s="92">
        <f t="shared" si="41"/>
        <v>20.222400779001777</v>
      </c>
      <c r="P86" s="92">
        <f t="shared" si="42"/>
        <v>17.975467359112692</v>
      </c>
      <c r="Q86" s="92">
        <f t="shared" si="43"/>
        <v>13.481600519334517</v>
      </c>
      <c r="R86" s="92">
        <f t="shared" si="44"/>
        <v>8.9877336795563458</v>
      </c>
      <c r="S86" s="92">
        <f t="shared" si="45"/>
        <v>6.7408002596672585</v>
      </c>
      <c r="U86" s="163">
        <f t="shared" si="46"/>
        <v>14</v>
      </c>
      <c r="V86" s="522">
        <f t="shared" si="47"/>
        <v>25</v>
      </c>
      <c r="W86" s="320">
        <f t="shared" si="48"/>
        <v>25</v>
      </c>
    </row>
    <row r="87" spans="1:23">
      <c r="A87" s="147" t="s">
        <v>114</v>
      </c>
      <c r="B87">
        <v>0</v>
      </c>
      <c r="C87" s="63">
        <v>6430</v>
      </c>
      <c r="D87" s="63">
        <v>7430</v>
      </c>
      <c r="E87" s="63">
        <v>3545</v>
      </c>
      <c r="F87" s="63">
        <v>2455</v>
      </c>
      <c r="G87" s="63">
        <v>3735</v>
      </c>
      <c r="H87" s="305">
        <v>23595</v>
      </c>
      <c r="I87" s="302">
        <f t="shared" si="40"/>
        <v>23595</v>
      </c>
      <c r="J87" s="90">
        <v>40</v>
      </c>
      <c r="K87" s="519">
        <v>50</v>
      </c>
      <c r="L87" s="524">
        <v>50</v>
      </c>
      <c r="N87" s="6">
        <v>0</v>
      </c>
      <c r="O87" s="92">
        <f t="shared" si="41"/>
        <v>28.895563779773649</v>
      </c>
      <c r="P87" s="92">
        <f t="shared" si="42"/>
        <v>33.389430619551824</v>
      </c>
      <c r="Q87" s="92">
        <f t="shared" si="43"/>
        <v>15.930757947013621</v>
      </c>
      <c r="R87" s="92">
        <f t="shared" si="44"/>
        <v>11.032443091655415</v>
      </c>
      <c r="S87" s="92">
        <f t="shared" si="45"/>
        <v>16.784592646571475</v>
      </c>
      <c r="U87" s="163">
        <f t="shared" si="46"/>
        <v>40</v>
      </c>
      <c r="V87" s="522">
        <f t="shared" si="47"/>
        <v>50</v>
      </c>
      <c r="W87" s="320">
        <f t="shared" si="48"/>
        <v>50</v>
      </c>
    </row>
    <row r="88" spans="1:23">
      <c r="A88" s="147" t="s">
        <v>239</v>
      </c>
      <c r="B88">
        <v>0</v>
      </c>
      <c r="C88" s="63">
        <v>12500</v>
      </c>
      <c r="D88" s="63">
        <v>15000</v>
      </c>
      <c r="E88" s="63">
        <v>14250</v>
      </c>
      <c r="F88" s="63">
        <v>5005</v>
      </c>
      <c r="G88" s="63">
        <v>7850</v>
      </c>
      <c r="H88" s="305">
        <v>54605</v>
      </c>
      <c r="I88" s="302">
        <f t="shared" si="40"/>
        <v>54605</v>
      </c>
      <c r="J88" s="90">
        <v>92</v>
      </c>
      <c r="K88" s="519">
        <v>100</v>
      </c>
      <c r="L88" s="524">
        <v>100</v>
      </c>
      <c r="N88" s="6">
        <v>0</v>
      </c>
      <c r="O88" s="92">
        <f t="shared" si="41"/>
        <v>56.173335497227157</v>
      </c>
      <c r="P88" s="92">
        <f t="shared" si="42"/>
        <v>67.408002596672588</v>
      </c>
      <c r="Q88" s="92">
        <f t="shared" si="43"/>
        <v>64.037602466838962</v>
      </c>
      <c r="R88" s="92">
        <f t="shared" si="44"/>
        <v>22.491803533089755</v>
      </c>
      <c r="S88" s="92">
        <f t="shared" si="45"/>
        <v>35.276854692258652</v>
      </c>
      <c r="U88" s="163">
        <f t="shared" si="46"/>
        <v>92</v>
      </c>
      <c r="V88" s="522">
        <f t="shared" si="47"/>
        <v>100</v>
      </c>
      <c r="W88" s="320">
        <f t="shared" si="48"/>
        <v>100</v>
      </c>
    </row>
    <row r="89" spans="1:23">
      <c r="A89" s="147" t="s">
        <v>112</v>
      </c>
      <c r="B89">
        <v>0</v>
      </c>
      <c r="C89" s="63">
        <v>3500</v>
      </c>
      <c r="D89" s="63">
        <v>2000</v>
      </c>
      <c r="E89" s="63">
        <v>6000</v>
      </c>
      <c r="F89" s="63">
        <v>3000</v>
      </c>
      <c r="G89" s="63">
        <v>500</v>
      </c>
      <c r="H89" s="305">
        <v>15000</v>
      </c>
      <c r="I89" s="302">
        <f t="shared" si="40"/>
        <v>15000</v>
      </c>
      <c r="J89" s="90">
        <v>12</v>
      </c>
      <c r="K89" s="519">
        <v>25</v>
      </c>
      <c r="L89" s="524">
        <v>25</v>
      </c>
      <c r="N89" s="6">
        <v>0</v>
      </c>
      <c r="O89" s="92">
        <f t="shared" si="41"/>
        <v>15.728533939223604</v>
      </c>
      <c r="P89" s="92">
        <f t="shared" si="42"/>
        <v>8.9877336795563458</v>
      </c>
      <c r="Q89" s="92">
        <f t="shared" si="43"/>
        <v>26.963201038669034</v>
      </c>
      <c r="R89" s="92">
        <f t="shared" si="44"/>
        <v>13.481600519334517</v>
      </c>
      <c r="S89" s="92">
        <f t="shared" si="45"/>
        <v>2.2469334198890865</v>
      </c>
      <c r="U89" s="163">
        <f t="shared" si="46"/>
        <v>12</v>
      </c>
      <c r="V89" s="522">
        <f t="shared" si="47"/>
        <v>25</v>
      </c>
      <c r="W89" s="320">
        <f t="shared" si="48"/>
        <v>25</v>
      </c>
    </row>
    <row r="90" spans="1:23">
      <c r="A90" s="147" t="s">
        <v>203</v>
      </c>
      <c r="B90">
        <v>0</v>
      </c>
      <c r="C90" s="63">
        <v>4250</v>
      </c>
      <c r="D90" s="63">
        <v>3780</v>
      </c>
      <c r="E90" s="63">
        <v>6500</v>
      </c>
      <c r="F90" s="63">
        <v>4230</v>
      </c>
      <c r="G90" s="63">
        <v>2225</v>
      </c>
      <c r="H90" s="305">
        <v>20985</v>
      </c>
      <c r="I90" s="302">
        <f t="shared" si="40"/>
        <v>20985</v>
      </c>
      <c r="J90" s="90">
        <v>33</v>
      </c>
      <c r="K90" s="519">
        <v>50</v>
      </c>
      <c r="L90" s="524">
        <v>50</v>
      </c>
      <c r="N90" s="6">
        <v>0</v>
      </c>
      <c r="O90" s="92">
        <f t="shared" si="41"/>
        <v>19.098934069057233</v>
      </c>
      <c r="P90" s="92">
        <f t="shared" si="42"/>
        <v>16.986816654361494</v>
      </c>
      <c r="Q90" s="92">
        <f t="shared" si="43"/>
        <v>29.210134458558123</v>
      </c>
      <c r="R90" s="92">
        <f t="shared" si="44"/>
        <v>19.009056732261669</v>
      </c>
      <c r="S90" s="92">
        <f t="shared" si="45"/>
        <v>9.9988537185064335</v>
      </c>
      <c r="U90" s="163">
        <f t="shared" si="46"/>
        <v>33</v>
      </c>
      <c r="V90" s="522">
        <f t="shared" si="47"/>
        <v>50</v>
      </c>
      <c r="W90" s="320">
        <f t="shared" si="48"/>
        <v>50</v>
      </c>
    </row>
    <row r="91" spans="1:23">
      <c r="A91" s="147" t="s">
        <v>243</v>
      </c>
      <c r="B91">
        <v>0</v>
      </c>
      <c r="C91" s="63">
        <v>7855</v>
      </c>
      <c r="D91" s="63">
        <v>9500</v>
      </c>
      <c r="E91" s="63">
        <v>5470</v>
      </c>
      <c r="F91" s="63">
        <v>6555</v>
      </c>
      <c r="G91" s="63">
        <v>4480</v>
      </c>
      <c r="H91" s="305">
        <v>33860</v>
      </c>
      <c r="I91" s="302">
        <f t="shared" si="40"/>
        <v>33860</v>
      </c>
      <c r="J91" s="90">
        <v>96</v>
      </c>
      <c r="K91" s="519">
        <v>100</v>
      </c>
      <c r="L91" s="524">
        <v>100</v>
      </c>
      <c r="N91" s="6">
        <v>0</v>
      </c>
      <c r="O91" s="92">
        <f t="shared" si="41"/>
        <v>35.299324026457548</v>
      </c>
      <c r="P91" s="92">
        <f t="shared" si="42"/>
        <v>42.691734977892636</v>
      </c>
      <c r="Q91" s="92">
        <f t="shared" si="43"/>
        <v>24.581451613586605</v>
      </c>
      <c r="R91" s="92">
        <f t="shared" si="44"/>
        <v>29.457297134745922</v>
      </c>
      <c r="S91" s="92">
        <f t="shared" si="45"/>
        <v>20.132523442206214</v>
      </c>
      <c r="U91" s="163">
        <f t="shared" si="46"/>
        <v>96</v>
      </c>
      <c r="V91" s="522">
        <f t="shared" si="47"/>
        <v>100</v>
      </c>
      <c r="W91" s="320">
        <f t="shared" si="48"/>
        <v>100</v>
      </c>
    </row>
    <row r="92" spans="1:23">
      <c r="A92" s="147" t="s">
        <v>510</v>
      </c>
      <c r="B92">
        <v>0</v>
      </c>
      <c r="C92" s="63">
        <v>500</v>
      </c>
      <c r="D92" s="63">
        <v>8000</v>
      </c>
      <c r="E92" s="63">
        <v>4000</v>
      </c>
      <c r="F92" s="63">
        <v>1000</v>
      </c>
      <c r="G92" s="63">
        <v>600</v>
      </c>
      <c r="H92" s="305">
        <v>14100</v>
      </c>
      <c r="I92" s="302">
        <f t="shared" si="40"/>
        <v>14100</v>
      </c>
      <c r="J92" s="90">
        <v>12</v>
      </c>
      <c r="K92" s="519">
        <v>25</v>
      </c>
      <c r="L92" s="524">
        <v>25</v>
      </c>
      <c r="N92" s="6">
        <v>0</v>
      </c>
      <c r="O92" s="92">
        <f t="shared" si="41"/>
        <v>2.2469334198890865</v>
      </c>
      <c r="P92" s="92">
        <f t="shared" si="42"/>
        <v>35.950934718225383</v>
      </c>
      <c r="Q92" s="92">
        <f t="shared" si="43"/>
        <v>17.975467359112692</v>
      </c>
      <c r="R92" s="92">
        <f t="shared" si="44"/>
        <v>4.4938668397781729</v>
      </c>
      <c r="S92" s="92">
        <f t="shared" si="45"/>
        <v>2.6963201038669036</v>
      </c>
      <c r="U92" s="163">
        <f t="shared" si="46"/>
        <v>12</v>
      </c>
      <c r="V92" s="522">
        <f t="shared" si="47"/>
        <v>25</v>
      </c>
      <c r="W92" s="320">
        <f t="shared" si="48"/>
        <v>25</v>
      </c>
    </row>
    <row r="93" spans="1:23">
      <c r="A93" s="147" t="s">
        <v>190</v>
      </c>
      <c r="B93">
        <v>0</v>
      </c>
      <c r="C93" s="63">
        <v>6750</v>
      </c>
      <c r="D93" s="63">
        <v>2400</v>
      </c>
      <c r="E93" s="63">
        <v>4000</v>
      </c>
      <c r="F93" s="63">
        <v>5580</v>
      </c>
      <c r="G93" s="63">
        <v>3480</v>
      </c>
      <c r="H93" s="305">
        <v>22210</v>
      </c>
      <c r="I93" s="302">
        <f t="shared" si="40"/>
        <v>22210</v>
      </c>
      <c r="J93" s="90">
        <v>35</v>
      </c>
      <c r="K93" s="519">
        <v>50</v>
      </c>
      <c r="L93" s="524">
        <v>50</v>
      </c>
      <c r="N93" s="6">
        <v>0</v>
      </c>
      <c r="O93" s="92">
        <f t="shared" si="41"/>
        <v>30.333601168502664</v>
      </c>
      <c r="P93" s="92">
        <f t="shared" si="42"/>
        <v>10.785280415467614</v>
      </c>
      <c r="Q93" s="92">
        <f t="shared" si="43"/>
        <v>17.975467359112692</v>
      </c>
      <c r="R93" s="92">
        <f t="shared" si="44"/>
        <v>25.075776965962202</v>
      </c>
      <c r="S93" s="92">
        <f t="shared" si="45"/>
        <v>15.638656602428041</v>
      </c>
      <c r="U93" s="163">
        <f t="shared" si="46"/>
        <v>35</v>
      </c>
      <c r="V93" s="522">
        <f t="shared" si="47"/>
        <v>50</v>
      </c>
      <c r="W93" s="320">
        <f t="shared" si="48"/>
        <v>50</v>
      </c>
    </row>
    <row r="94" spans="1:23">
      <c r="A94" s="147" t="s">
        <v>263</v>
      </c>
      <c r="B94">
        <v>0</v>
      </c>
      <c r="C94" s="63">
        <v>8500</v>
      </c>
      <c r="D94" s="63">
        <v>12000</v>
      </c>
      <c r="E94" s="63">
        <v>18200</v>
      </c>
      <c r="F94" s="63">
        <v>6400</v>
      </c>
      <c r="G94" s="63">
        <v>8500</v>
      </c>
      <c r="H94" s="305">
        <v>53600</v>
      </c>
      <c r="I94" s="302">
        <f t="shared" si="40"/>
        <v>53600</v>
      </c>
      <c r="J94" s="90">
        <v>88</v>
      </c>
      <c r="K94" s="519">
        <v>100</v>
      </c>
      <c r="L94" s="524">
        <v>100</v>
      </c>
      <c r="N94" s="6">
        <v>0</v>
      </c>
      <c r="O94" s="92">
        <f t="shared" si="41"/>
        <v>38.197868138114465</v>
      </c>
      <c r="P94" s="92">
        <f t="shared" si="42"/>
        <v>53.926402077338068</v>
      </c>
      <c r="Q94" s="92">
        <f t="shared" si="43"/>
        <v>81.788376483962736</v>
      </c>
      <c r="R94" s="92">
        <f t="shared" si="44"/>
        <v>28.760747774580306</v>
      </c>
      <c r="S94" s="92">
        <f t="shared" si="45"/>
        <v>38.197868138114465</v>
      </c>
      <c r="U94" s="163">
        <f t="shared" si="46"/>
        <v>88</v>
      </c>
      <c r="V94" s="522">
        <f t="shared" si="47"/>
        <v>100</v>
      </c>
      <c r="W94" s="320">
        <f t="shared" si="48"/>
        <v>100</v>
      </c>
    </row>
    <row r="95" spans="1:23">
      <c r="A95" s="147" t="s">
        <v>511</v>
      </c>
      <c r="B95">
        <v>0</v>
      </c>
      <c r="C95" s="63">
        <v>1500</v>
      </c>
      <c r="D95" s="63">
        <v>4000</v>
      </c>
      <c r="E95" s="63">
        <v>2000</v>
      </c>
      <c r="F95" s="63">
        <v>2000</v>
      </c>
      <c r="G95" s="63">
        <v>4000</v>
      </c>
      <c r="H95" s="305">
        <v>13500</v>
      </c>
      <c r="I95" s="302">
        <f t="shared" si="40"/>
        <v>13500</v>
      </c>
      <c r="J95" s="90">
        <v>12</v>
      </c>
      <c r="K95" s="519">
        <v>25</v>
      </c>
      <c r="L95" s="524">
        <v>25</v>
      </c>
      <c r="N95" s="6">
        <v>0</v>
      </c>
      <c r="O95" s="92">
        <f t="shared" si="41"/>
        <v>6.7408002596672585</v>
      </c>
      <c r="P95" s="92">
        <f t="shared" si="42"/>
        <v>17.975467359112692</v>
      </c>
      <c r="Q95" s="92">
        <f t="shared" si="43"/>
        <v>8.9877336795563458</v>
      </c>
      <c r="R95" s="92">
        <f t="shared" si="44"/>
        <v>8.9877336795563458</v>
      </c>
      <c r="S95" s="92">
        <f t="shared" si="45"/>
        <v>17.975467359112692</v>
      </c>
      <c r="U95" s="163">
        <f t="shared" si="46"/>
        <v>12</v>
      </c>
      <c r="V95" s="522">
        <f t="shared" si="47"/>
        <v>25</v>
      </c>
      <c r="W95" s="320">
        <f t="shared" si="48"/>
        <v>25</v>
      </c>
    </row>
    <row r="96" spans="1:23">
      <c r="A96" s="147" t="s">
        <v>512</v>
      </c>
      <c r="B96">
        <v>0</v>
      </c>
      <c r="C96" s="63">
        <v>3215</v>
      </c>
      <c r="D96" s="63">
        <v>9530</v>
      </c>
      <c r="E96" s="63">
        <v>3200</v>
      </c>
      <c r="F96" s="63">
        <v>6100</v>
      </c>
      <c r="G96" s="63">
        <v>2053</v>
      </c>
      <c r="H96" s="305">
        <v>24098</v>
      </c>
      <c r="I96" s="302">
        <f t="shared" si="40"/>
        <v>24098</v>
      </c>
      <c r="J96" s="90">
        <v>40</v>
      </c>
      <c r="K96" s="519">
        <v>50</v>
      </c>
      <c r="L96" s="524">
        <v>50</v>
      </c>
      <c r="N96" s="6">
        <v>0</v>
      </c>
      <c r="O96" s="92">
        <f t="shared" si="41"/>
        <v>14.447781889886825</v>
      </c>
      <c r="P96" s="92">
        <f t="shared" si="42"/>
        <v>42.826550983085987</v>
      </c>
      <c r="Q96" s="92">
        <f t="shared" si="43"/>
        <v>14.380373887290153</v>
      </c>
      <c r="R96" s="92">
        <f t="shared" si="44"/>
        <v>27.412587722646855</v>
      </c>
      <c r="S96" s="92">
        <f t="shared" si="45"/>
        <v>9.2259086220645887</v>
      </c>
      <c r="U96" s="163">
        <f t="shared" si="46"/>
        <v>40</v>
      </c>
      <c r="V96" s="522">
        <f t="shared" si="47"/>
        <v>50</v>
      </c>
      <c r="W96" s="320">
        <f t="shared" si="48"/>
        <v>50</v>
      </c>
    </row>
    <row r="97" spans="1:23">
      <c r="A97" s="147" t="s">
        <v>332</v>
      </c>
      <c r="B97">
        <v>0</v>
      </c>
      <c r="C97" s="63">
        <v>5000</v>
      </c>
      <c r="D97" s="63">
        <v>8000</v>
      </c>
      <c r="E97" s="63">
        <v>9500</v>
      </c>
      <c r="F97" s="63">
        <v>20000</v>
      </c>
      <c r="G97" s="63">
        <v>9500</v>
      </c>
      <c r="H97" s="305">
        <v>52000</v>
      </c>
      <c r="I97" s="302">
        <f t="shared" si="40"/>
        <v>52000</v>
      </c>
      <c r="J97" s="90">
        <v>81</v>
      </c>
      <c r="K97" s="519">
        <v>100</v>
      </c>
      <c r="L97" s="524">
        <v>100</v>
      </c>
      <c r="N97" s="6">
        <v>0</v>
      </c>
      <c r="O97" s="92">
        <f t="shared" si="41"/>
        <v>22.469334198890863</v>
      </c>
      <c r="P97" s="92">
        <f t="shared" si="42"/>
        <v>35.950934718225383</v>
      </c>
      <c r="Q97" s="92">
        <f t="shared" si="43"/>
        <v>42.691734977892636</v>
      </c>
      <c r="R97" s="92">
        <f t="shared" si="44"/>
        <v>89.877336795563451</v>
      </c>
      <c r="S97" s="92">
        <f t="shared" si="45"/>
        <v>42.691734977892636</v>
      </c>
      <c r="U97" s="163">
        <f t="shared" si="46"/>
        <v>81</v>
      </c>
      <c r="V97" s="522">
        <f t="shared" si="47"/>
        <v>100</v>
      </c>
      <c r="W97" s="320">
        <f t="shared" si="48"/>
        <v>100</v>
      </c>
    </row>
    <row r="98" spans="1:23" ht="15.75">
      <c r="A98" s="149" t="s">
        <v>509</v>
      </c>
      <c r="B98" s="140" t="s">
        <v>486</v>
      </c>
      <c r="C98" s="63">
        <v>9500</v>
      </c>
      <c r="D98" s="63">
        <v>8500</v>
      </c>
      <c r="E98" s="63">
        <v>12200</v>
      </c>
      <c r="F98" s="63">
        <v>10600</v>
      </c>
      <c r="G98" s="63">
        <v>13800</v>
      </c>
      <c r="H98" s="305">
        <v>54600</v>
      </c>
      <c r="I98" s="302">
        <f t="shared" si="40"/>
        <v>54600</v>
      </c>
      <c r="J98" s="90">
        <v>167</v>
      </c>
      <c r="K98" s="519">
        <v>500</v>
      </c>
      <c r="L98" s="524">
        <v>250</v>
      </c>
      <c r="N98" s="185">
        <v>36</v>
      </c>
      <c r="O98" s="92">
        <f t="shared" si="41"/>
        <v>1227447.369639924</v>
      </c>
      <c r="P98" s="92">
        <f t="shared" si="42"/>
        <v>1098242.3833620371</v>
      </c>
      <c r="Q98" s="92">
        <f t="shared" si="43"/>
        <v>1576300.8325902179</v>
      </c>
      <c r="R98" s="92">
        <f t="shared" si="44"/>
        <v>1369572.8545455993</v>
      </c>
      <c r="S98" s="92">
        <f t="shared" si="45"/>
        <v>1783028.8106348368</v>
      </c>
      <c r="U98" s="163">
        <f>N98*J98</f>
        <v>6012</v>
      </c>
      <c r="V98" s="522">
        <f>N98*K98</f>
        <v>18000</v>
      </c>
      <c r="W98" s="320">
        <f>N98*L98</f>
        <v>9000</v>
      </c>
    </row>
    <row r="99" spans="1:23">
      <c r="A99" s="149" t="s">
        <v>513</v>
      </c>
      <c r="B99">
        <v>30</v>
      </c>
      <c r="C99" s="63">
        <v>15000</v>
      </c>
      <c r="D99" s="63">
        <v>25000</v>
      </c>
      <c r="E99" s="63">
        <v>12000</v>
      </c>
      <c r="F99" s="63">
        <v>19000</v>
      </c>
      <c r="G99" s="63">
        <v>16000</v>
      </c>
      <c r="H99" s="305">
        <v>87000</v>
      </c>
      <c r="I99" s="302">
        <f t="shared" si="40"/>
        <v>87000</v>
      </c>
      <c r="J99" s="90">
        <v>116</v>
      </c>
      <c r="K99" s="519">
        <v>250</v>
      </c>
      <c r="L99" s="524">
        <v>100</v>
      </c>
      <c r="N99" s="185">
        <v>20</v>
      </c>
      <c r="O99" s="92">
        <f t="shared" si="41"/>
        <v>20218.283311110077</v>
      </c>
      <c r="P99" s="92">
        <f t="shared" si="42"/>
        <v>33697.138851850134</v>
      </c>
      <c r="Q99" s="92">
        <f t="shared" si="43"/>
        <v>16174.626648888063</v>
      </c>
      <c r="R99" s="92">
        <f t="shared" si="44"/>
        <v>25609.825527406101</v>
      </c>
      <c r="S99" s="92">
        <f t="shared" si="45"/>
        <v>21566.168865184081</v>
      </c>
      <c r="U99" s="163">
        <f>N99*J99</f>
        <v>2320</v>
      </c>
      <c r="V99" s="522">
        <f>N99*K99</f>
        <v>5000</v>
      </c>
      <c r="W99" s="320">
        <f>N99*L99</f>
        <v>2000</v>
      </c>
    </row>
    <row r="100" spans="1:23">
      <c r="A100" s="149" t="s">
        <v>514</v>
      </c>
      <c r="B100">
        <v>0</v>
      </c>
      <c r="C100" s="63">
        <v>2595</v>
      </c>
      <c r="D100" s="63">
        <v>1875</v>
      </c>
      <c r="E100" s="63">
        <v>3405</v>
      </c>
      <c r="F100" s="63">
        <v>2965</v>
      </c>
      <c r="G100" s="63">
        <v>2005</v>
      </c>
      <c r="H100" s="305">
        <v>12845</v>
      </c>
      <c r="I100" s="302">
        <f t="shared" si="40"/>
        <v>12845</v>
      </c>
      <c r="J100" s="90">
        <v>20</v>
      </c>
      <c r="K100" s="519">
        <v>20</v>
      </c>
      <c r="L100" s="524">
        <v>25</v>
      </c>
      <c r="N100" s="6">
        <v>0</v>
      </c>
      <c r="O100" s="92">
        <f t="shared" si="41"/>
        <v>11.661584449224359</v>
      </c>
      <c r="P100" s="92">
        <f t="shared" si="42"/>
        <v>8.4260003245840736</v>
      </c>
      <c r="Q100" s="92">
        <f t="shared" si="43"/>
        <v>15.301616589444677</v>
      </c>
      <c r="R100" s="92">
        <f t="shared" si="44"/>
        <v>13.324315179942282</v>
      </c>
      <c r="S100" s="92">
        <f t="shared" si="45"/>
        <v>9.0102030137552358</v>
      </c>
      <c r="U100" s="163">
        <f>(N100+1)*J100</f>
        <v>20</v>
      </c>
      <c r="V100" s="522">
        <f>(N100+1)*K100</f>
        <v>20</v>
      </c>
      <c r="W100" s="320">
        <f>(N100+1)*L100</f>
        <v>25</v>
      </c>
    </row>
    <row r="101" spans="1:23">
      <c r="A101" s="147" t="s">
        <v>371</v>
      </c>
      <c r="B101">
        <v>0</v>
      </c>
      <c r="C101" s="63">
        <v>3520</v>
      </c>
      <c r="D101" s="63">
        <v>2300</v>
      </c>
      <c r="E101" s="63">
        <v>2450</v>
      </c>
      <c r="F101" s="63">
        <v>3120</v>
      </c>
      <c r="G101" s="63">
        <v>2405</v>
      </c>
      <c r="H101" s="305">
        <v>13795</v>
      </c>
      <c r="I101" s="302">
        <f t="shared" si="40"/>
        <v>13795</v>
      </c>
      <c r="J101" s="90">
        <v>22</v>
      </c>
      <c r="K101" s="519">
        <v>25</v>
      </c>
      <c r="L101" s="524">
        <v>25</v>
      </c>
      <c r="N101" s="6">
        <v>0</v>
      </c>
      <c r="O101" s="92">
        <f t="shared" si="41"/>
        <v>15.818411276019168</v>
      </c>
      <c r="P101" s="92">
        <f t="shared" si="42"/>
        <v>10.335893731489797</v>
      </c>
      <c r="Q101" s="92">
        <f t="shared" si="43"/>
        <v>11.009973757456523</v>
      </c>
      <c r="R101" s="92">
        <f t="shared" si="44"/>
        <v>14.020864540107899</v>
      </c>
      <c r="S101" s="92">
        <f t="shared" si="45"/>
        <v>10.807749749666506</v>
      </c>
      <c r="U101" s="163">
        <f>(N101+1)*J101</f>
        <v>22</v>
      </c>
      <c r="V101" s="522">
        <f>(N101+1)*K101</f>
        <v>25</v>
      </c>
      <c r="W101" s="320">
        <f>(N101+1)*L101</f>
        <v>25</v>
      </c>
    </row>
    <row r="102" spans="1:23" ht="15.75">
      <c r="A102" s="147" t="s">
        <v>303</v>
      </c>
      <c r="B102" s="140" t="s">
        <v>486</v>
      </c>
      <c r="C102" s="63">
        <v>5400</v>
      </c>
      <c r="D102" s="63">
        <v>6800</v>
      </c>
      <c r="E102" s="63">
        <v>4800</v>
      </c>
      <c r="F102" s="63">
        <v>6700</v>
      </c>
      <c r="G102" s="63">
        <v>5500</v>
      </c>
      <c r="H102" s="305">
        <v>29200</v>
      </c>
      <c r="I102" s="302">
        <f t="shared" si="40"/>
        <v>29200</v>
      </c>
      <c r="J102" s="90">
        <v>12</v>
      </c>
      <c r="K102" s="519">
        <v>50</v>
      </c>
      <c r="L102" s="524">
        <v>50</v>
      </c>
      <c r="N102" s="185">
        <v>30</v>
      </c>
      <c r="O102" s="92">
        <f t="shared" si="41"/>
        <v>126055.90313790058</v>
      </c>
      <c r="P102" s="92">
        <f t="shared" si="42"/>
        <v>158737.06321068961</v>
      </c>
      <c r="Q102" s="92">
        <f t="shared" si="43"/>
        <v>112049.69167813384</v>
      </c>
      <c r="R102" s="92">
        <f t="shared" si="44"/>
        <v>156402.69463406186</v>
      </c>
      <c r="S102" s="92">
        <f t="shared" si="45"/>
        <v>128390.27171452837</v>
      </c>
      <c r="U102" s="163">
        <f>N102*J102</f>
        <v>360</v>
      </c>
      <c r="V102" s="522">
        <f>N102*K102</f>
        <v>1500</v>
      </c>
      <c r="W102" s="320">
        <f>N102*L102</f>
        <v>1500</v>
      </c>
    </row>
    <row r="103" spans="1:23">
      <c r="A103" s="147" t="s">
        <v>125</v>
      </c>
      <c r="B103">
        <v>0</v>
      </c>
      <c r="C103" s="63">
        <v>4260</v>
      </c>
      <c r="D103" s="63">
        <v>3120</v>
      </c>
      <c r="E103" s="63">
        <v>4520</v>
      </c>
      <c r="F103" s="63">
        <v>2300</v>
      </c>
      <c r="G103" s="63">
        <v>4545</v>
      </c>
      <c r="H103" s="305">
        <v>18745</v>
      </c>
      <c r="I103" s="302">
        <f t="shared" si="40"/>
        <v>18745</v>
      </c>
      <c r="J103" s="90">
        <v>31</v>
      </c>
      <c r="K103" s="519">
        <v>50</v>
      </c>
      <c r="L103" s="524">
        <v>50</v>
      </c>
      <c r="N103" s="6">
        <v>0</v>
      </c>
      <c r="O103" s="92">
        <f t="shared" si="41"/>
        <v>19.143872737455016</v>
      </c>
      <c r="P103" s="92">
        <f t="shared" si="42"/>
        <v>14.020864540107899</v>
      </c>
      <c r="Q103" s="92">
        <f t="shared" si="43"/>
        <v>20.312278115797341</v>
      </c>
      <c r="R103" s="92">
        <f t="shared" si="44"/>
        <v>10.335893731489797</v>
      </c>
      <c r="S103" s="92">
        <f t="shared" si="45"/>
        <v>20.424624786791796</v>
      </c>
      <c r="U103" s="163">
        <f>(N103+1)*J103</f>
        <v>31</v>
      </c>
      <c r="V103" s="522">
        <f>(N103+1)*K103</f>
        <v>50</v>
      </c>
      <c r="W103" s="320">
        <f>(N103+1)*L103</f>
        <v>50</v>
      </c>
    </row>
    <row r="104" spans="1:23" ht="15.75">
      <c r="A104" s="147" t="s">
        <v>195</v>
      </c>
      <c r="B104" s="140" t="s">
        <v>486</v>
      </c>
      <c r="C104" s="63">
        <v>13600</v>
      </c>
      <c r="D104" s="63">
        <v>7300</v>
      </c>
      <c r="E104" s="63">
        <v>8700</v>
      </c>
      <c r="F104" s="63">
        <v>4900</v>
      </c>
      <c r="G104" s="63">
        <v>18300</v>
      </c>
      <c r="H104" s="305">
        <v>52800</v>
      </c>
      <c r="I104" s="302">
        <f t="shared" si="40"/>
        <v>52800</v>
      </c>
      <c r="J104" s="90">
        <v>15</v>
      </c>
      <c r="K104" s="519">
        <v>75</v>
      </c>
      <c r="L104" s="524">
        <v>50</v>
      </c>
      <c r="N104" s="185">
        <v>28</v>
      </c>
      <c r="O104" s="92">
        <f t="shared" si="41"/>
        <v>179475.45164869644</v>
      </c>
      <c r="P104" s="92">
        <f t="shared" si="42"/>
        <v>96336.088017315022</v>
      </c>
      <c r="Q104" s="92">
        <f t="shared" si="43"/>
        <v>114811.502157622</v>
      </c>
      <c r="R104" s="92">
        <f t="shared" si="44"/>
        <v>64663.949491074462</v>
      </c>
      <c r="S104" s="92">
        <f t="shared" si="45"/>
        <v>241500.0562625842</v>
      </c>
      <c r="U104" s="163">
        <f>N104*J104</f>
        <v>420</v>
      </c>
      <c r="V104" s="522">
        <f>N104*K104</f>
        <v>2100</v>
      </c>
      <c r="W104" s="320">
        <f>N104*L104</f>
        <v>1400</v>
      </c>
    </row>
    <row r="105" spans="1:23">
      <c r="A105" s="147" t="s">
        <v>200</v>
      </c>
      <c r="B105">
        <v>0</v>
      </c>
      <c r="C105" s="63">
        <v>6430</v>
      </c>
      <c r="D105" s="63">
        <v>7430</v>
      </c>
      <c r="E105" s="63">
        <v>3545</v>
      </c>
      <c r="F105" s="63">
        <v>2455</v>
      </c>
      <c r="G105" s="63">
        <v>3735</v>
      </c>
      <c r="H105" s="305">
        <v>23595</v>
      </c>
      <c r="I105" s="302">
        <f t="shared" si="40"/>
        <v>23595</v>
      </c>
      <c r="J105" s="90">
        <v>100</v>
      </c>
      <c r="K105" s="519">
        <v>100</v>
      </c>
      <c r="L105" s="524">
        <v>100</v>
      </c>
      <c r="N105" s="6">
        <v>0</v>
      </c>
      <c r="O105" s="92">
        <f t="shared" si="41"/>
        <v>28.895563779773649</v>
      </c>
      <c r="P105" s="92">
        <f t="shared" si="42"/>
        <v>33.389430619551824</v>
      </c>
      <c r="Q105" s="92">
        <f t="shared" si="43"/>
        <v>15.930757947013621</v>
      </c>
      <c r="R105" s="92">
        <f t="shared" si="44"/>
        <v>11.032443091655415</v>
      </c>
      <c r="S105" s="92">
        <f t="shared" si="45"/>
        <v>16.784592646571475</v>
      </c>
      <c r="U105" s="163">
        <f>(N105+1)*J105</f>
        <v>100</v>
      </c>
      <c r="V105" s="522">
        <f>(N105+1)*K105</f>
        <v>100</v>
      </c>
      <c r="W105" s="320">
        <f>(N105+1)*L105</f>
        <v>100</v>
      </c>
    </row>
    <row r="106" spans="1:23" ht="15.75">
      <c r="A106" s="147" t="s">
        <v>229</v>
      </c>
      <c r="B106" s="140" t="s">
        <v>486</v>
      </c>
      <c r="C106" s="63">
        <v>7000</v>
      </c>
      <c r="D106" s="63">
        <v>14000</v>
      </c>
      <c r="E106" s="63">
        <v>2860</v>
      </c>
      <c r="F106" s="63">
        <v>2100</v>
      </c>
      <c r="G106" s="63">
        <v>12555</v>
      </c>
      <c r="H106" s="305">
        <v>38515</v>
      </c>
      <c r="I106" s="302">
        <f t="shared" si="40"/>
        <v>38515</v>
      </c>
      <c r="J106" s="90">
        <v>21</v>
      </c>
      <c r="K106" s="519">
        <v>75</v>
      </c>
      <c r="L106" s="524">
        <v>50</v>
      </c>
      <c r="N106" s="185">
        <v>28</v>
      </c>
      <c r="O106" s="92">
        <f t="shared" si="41"/>
        <v>92377.070701534947</v>
      </c>
      <c r="P106" s="92">
        <f t="shared" si="42"/>
        <v>184754.14140306989</v>
      </c>
      <c r="Q106" s="92">
        <f t="shared" si="43"/>
        <v>37742.631743769991</v>
      </c>
      <c r="R106" s="92">
        <f t="shared" si="44"/>
        <v>27713.121210460486</v>
      </c>
      <c r="S106" s="92">
        <f t="shared" si="45"/>
        <v>165684.87466539591</v>
      </c>
      <c r="U106" s="163">
        <f>N106*J106</f>
        <v>588</v>
      </c>
      <c r="V106" s="522">
        <f>N106*K106</f>
        <v>2100</v>
      </c>
      <c r="W106" s="320">
        <f>N106*L106</f>
        <v>1400</v>
      </c>
    </row>
    <row r="107" spans="1:23" ht="15.75">
      <c r="A107" s="147" t="s">
        <v>346</v>
      </c>
      <c r="B107" s="140" t="s">
        <v>486</v>
      </c>
      <c r="C107" s="63">
        <v>8020</v>
      </c>
      <c r="D107" s="63">
        <v>4000</v>
      </c>
      <c r="E107" s="63">
        <v>6205</v>
      </c>
      <c r="F107" s="63">
        <v>4015</v>
      </c>
      <c r="G107" s="63">
        <v>3200</v>
      </c>
      <c r="H107" s="305">
        <v>25440</v>
      </c>
      <c r="I107" s="302">
        <f t="shared" si="40"/>
        <v>25440</v>
      </c>
      <c r="J107" s="90">
        <v>10</v>
      </c>
      <c r="K107" s="519">
        <v>50</v>
      </c>
      <c r="L107" s="524">
        <v>25</v>
      </c>
      <c r="N107" s="185">
        <v>30</v>
      </c>
      <c r="O107" s="92">
        <f t="shared" si="41"/>
        <v>187216.35984554866</v>
      </c>
      <c r="P107" s="92">
        <f t="shared" si="42"/>
        <v>93374.743065111543</v>
      </c>
      <c r="Q107" s="92">
        <f t="shared" si="43"/>
        <v>144847.57017975429</v>
      </c>
      <c r="R107" s="92">
        <f t="shared" si="44"/>
        <v>93724.898351605705</v>
      </c>
      <c r="S107" s="92">
        <f t="shared" si="45"/>
        <v>74699.794452089234</v>
      </c>
      <c r="U107" s="163">
        <f>N107*J107</f>
        <v>300</v>
      </c>
      <c r="V107" s="522">
        <f>N107*K107</f>
        <v>1500</v>
      </c>
      <c r="W107" s="320">
        <f>N107*L107</f>
        <v>750</v>
      </c>
    </row>
    <row r="108" spans="1:23" ht="15.75">
      <c r="A108" s="147" t="s">
        <v>169</v>
      </c>
      <c r="B108" s="140" t="s">
        <v>486</v>
      </c>
      <c r="C108" s="63">
        <v>4801</v>
      </c>
      <c r="D108" s="63">
        <v>6325</v>
      </c>
      <c r="E108" s="63">
        <v>1450</v>
      </c>
      <c r="F108" s="63">
        <v>655</v>
      </c>
      <c r="G108" s="63">
        <v>4776</v>
      </c>
      <c r="H108" s="305">
        <v>18007</v>
      </c>
      <c r="I108" s="302">
        <f t="shared" si="40"/>
        <v>18007</v>
      </c>
      <c r="J108" s="90">
        <v>6</v>
      </c>
      <c r="K108" s="519">
        <v>25</v>
      </c>
      <c r="L108" s="524">
        <v>10</v>
      </c>
      <c r="N108" s="185">
        <v>31</v>
      </c>
      <c r="O108" s="92">
        <f t="shared" si="41"/>
        <v>149057.13703398712</v>
      </c>
      <c r="P108" s="92">
        <f t="shared" si="42"/>
        <v>196372.9205873711</v>
      </c>
      <c r="Q108" s="92">
        <f t="shared" si="43"/>
        <v>45018.298000266892</v>
      </c>
      <c r="R108" s="92">
        <f t="shared" si="44"/>
        <v>20335.851855292978</v>
      </c>
      <c r="S108" s="92">
        <f t="shared" si="45"/>
        <v>148280.95948225839</v>
      </c>
      <c r="U108" s="163">
        <f>N108*J108</f>
        <v>186</v>
      </c>
      <c r="V108" s="522">
        <f>N108*K108</f>
        <v>775</v>
      </c>
      <c r="W108" s="320">
        <f>N108*L108</f>
        <v>310</v>
      </c>
    </row>
    <row r="109" spans="1:23" ht="15.75">
      <c r="A109" s="147" t="s">
        <v>100</v>
      </c>
      <c r="B109" s="140" t="s">
        <v>486</v>
      </c>
      <c r="C109" s="63">
        <v>2012</v>
      </c>
      <c r="D109" s="63">
        <v>5210</v>
      </c>
      <c r="E109" s="63">
        <v>3111</v>
      </c>
      <c r="F109" s="63">
        <v>3922</v>
      </c>
      <c r="G109" s="63">
        <v>6020</v>
      </c>
      <c r="H109" s="305">
        <v>20275</v>
      </c>
      <c r="I109" s="302">
        <f t="shared" si="40"/>
        <v>20275</v>
      </c>
      <c r="J109" s="90">
        <v>7</v>
      </c>
      <c r="K109" s="519">
        <v>25</v>
      </c>
      <c r="L109" s="524">
        <v>25</v>
      </c>
      <c r="N109" s="185">
        <v>29</v>
      </c>
      <c r="O109" s="92">
        <f t="shared" si="41"/>
        <v>35313.906587782789</v>
      </c>
      <c r="P109" s="92">
        <f t="shared" si="42"/>
        <v>91444.062287449473</v>
      </c>
      <c r="Q109" s="92">
        <f t="shared" si="43"/>
        <v>54603.162720970307</v>
      </c>
      <c r="R109" s="92">
        <f t="shared" si="44"/>
        <v>68837.545545369823</v>
      </c>
      <c r="S109" s="92">
        <f t="shared" si="45"/>
        <v>105660.8934684157</v>
      </c>
      <c r="U109" s="163">
        <f>N109*J109</f>
        <v>203</v>
      </c>
      <c r="V109" s="522">
        <f>N109*K109</f>
        <v>725</v>
      </c>
      <c r="W109" s="320">
        <f>N109*L109</f>
        <v>725</v>
      </c>
    </row>
    <row r="110" spans="1:23">
      <c r="A110" s="149" t="s">
        <v>515</v>
      </c>
      <c r="B110">
        <v>0</v>
      </c>
      <c r="C110" s="63">
        <v>2845</v>
      </c>
      <c r="D110" s="63">
        <v>2745</v>
      </c>
      <c r="E110" s="63">
        <v>1935</v>
      </c>
      <c r="F110" s="63">
        <v>2685</v>
      </c>
      <c r="G110" s="63">
        <v>1450</v>
      </c>
      <c r="H110" s="305">
        <v>11660</v>
      </c>
      <c r="I110" s="302">
        <f t="shared" si="40"/>
        <v>11660</v>
      </c>
      <c r="J110" s="90">
        <v>19</v>
      </c>
      <c r="K110" s="519">
        <v>20</v>
      </c>
      <c r="L110" s="524">
        <v>25</v>
      </c>
      <c r="N110" s="6">
        <v>0</v>
      </c>
      <c r="O110" s="92">
        <f t="shared" si="41"/>
        <v>12.785051159168901</v>
      </c>
      <c r="P110" s="92">
        <f t="shared" si="42"/>
        <v>12.335664475191084</v>
      </c>
      <c r="Q110" s="92">
        <f t="shared" si="43"/>
        <v>8.6956323349707638</v>
      </c>
      <c r="R110" s="92">
        <f t="shared" si="44"/>
        <v>12.066032464804394</v>
      </c>
      <c r="S110" s="92">
        <f t="shared" si="45"/>
        <v>6.5161069176783499</v>
      </c>
      <c r="U110" s="163">
        <f>(N110+1)*J110</f>
        <v>19</v>
      </c>
      <c r="V110" s="522">
        <f>(N110+1)*K110</f>
        <v>20</v>
      </c>
      <c r="W110" s="320">
        <f>(N110+1)*L110</f>
        <v>25</v>
      </c>
    </row>
    <row r="111" spans="1:23">
      <c r="A111" s="147" t="s">
        <v>81</v>
      </c>
      <c r="B111">
        <v>0</v>
      </c>
      <c r="C111" s="63">
        <v>2595</v>
      </c>
      <c r="D111" s="63">
        <v>1950</v>
      </c>
      <c r="E111" s="63">
        <v>2395</v>
      </c>
      <c r="F111" s="63">
        <v>1115</v>
      </c>
      <c r="G111" s="63">
        <v>955</v>
      </c>
      <c r="H111" s="305">
        <v>9010</v>
      </c>
      <c r="I111" s="302">
        <f t="shared" si="40"/>
        <v>9010</v>
      </c>
      <c r="J111" s="90">
        <v>15</v>
      </c>
      <c r="K111" s="519">
        <v>25</v>
      </c>
      <c r="L111" s="524">
        <v>25</v>
      </c>
      <c r="N111" s="6">
        <v>0</v>
      </c>
      <c r="O111" s="92">
        <f t="shared" si="41"/>
        <v>11.661584449224359</v>
      </c>
      <c r="P111" s="92">
        <f t="shared" si="42"/>
        <v>8.7630403375674373</v>
      </c>
      <c r="Q111" s="92">
        <f t="shared" si="43"/>
        <v>10.762811081268723</v>
      </c>
      <c r="R111" s="92">
        <f t="shared" si="44"/>
        <v>5.0106615263526626</v>
      </c>
      <c r="S111" s="92">
        <f t="shared" si="45"/>
        <v>4.2916428319881552</v>
      </c>
      <c r="U111" s="163">
        <f>(N111+1)*J111</f>
        <v>15</v>
      </c>
      <c r="V111" s="522">
        <f>(N111+1)*K111</f>
        <v>25</v>
      </c>
      <c r="W111" s="320">
        <f>(N111+1)*L111</f>
        <v>25</v>
      </c>
    </row>
    <row r="112" spans="1:23">
      <c r="A112" s="147" t="s">
        <v>209</v>
      </c>
      <c r="B112">
        <v>0</v>
      </c>
      <c r="C112" s="63">
        <v>4850</v>
      </c>
      <c r="D112" s="63">
        <v>6450</v>
      </c>
      <c r="E112" s="63">
        <v>3850</v>
      </c>
      <c r="F112" s="63">
        <v>4500</v>
      </c>
      <c r="G112" s="63">
        <v>3590</v>
      </c>
      <c r="H112" s="305">
        <v>23240</v>
      </c>
      <c r="I112" s="302">
        <f t="shared" si="40"/>
        <v>23240</v>
      </c>
      <c r="J112" s="90">
        <v>39</v>
      </c>
      <c r="K112" s="519">
        <v>50</v>
      </c>
      <c r="L112" s="524">
        <v>50</v>
      </c>
      <c r="N112" s="6">
        <v>0</v>
      </c>
      <c r="O112" s="92">
        <f t="shared" si="41"/>
        <v>21.795254172924139</v>
      </c>
      <c r="P112" s="92">
        <f t="shared" si="42"/>
        <v>28.985441116569213</v>
      </c>
      <c r="Q112" s="92">
        <f t="shared" si="43"/>
        <v>17.301387333145964</v>
      </c>
      <c r="R112" s="92">
        <f t="shared" si="44"/>
        <v>20.222400779001777</v>
      </c>
      <c r="S112" s="92">
        <f t="shared" si="45"/>
        <v>16.13298195480364</v>
      </c>
      <c r="U112" s="163">
        <f>(N112+1)*J112</f>
        <v>39</v>
      </c>
      <c r="V112" s="522">
        <f>(N112+1)*K112</f>
        <v>50</v>
      </c>
      <c r="W112" s="320">
        <f>(N112+1)*L112</f>
        <v>50</v>
      </c>
    </row>
    <row r="113" spans="1:23" ht="15.75">
      <c r="A113" s="147" t="s">
        <v>308</v>
      </c>
      <c r="B113" s="140" t="s">
        <v>486</v>
      </c>
      <c r="C113" s="63">
        <v>8660</v>
      </c>
      <c r="D113" s="63">
        <v>4200</v>
      </c>
      <c r="E113" s="63">
        <v>4420</v>
      </c>
      <c r="F113" s="63">
        <v>9200</v>
      </c>
      <c r="G113" s="63">
        <v>10200</v>
      </c>
      <c r="H113" s="305">
        <v>36680</v>
      </c>
      <c r="I113" s="302">
        <f t="shared" si="40"/>
        <v>36680</v>
      </c>
      <c r="J113" s="90">
        <v>15</v>
      </c>
      <c r="K113" s="519">
        <v>75</v>
      </c>
      <c r="L113" s="524">
        <v>50</v>
      </c>
      <c r="N113" s="185">
        <v>27</v>
      </c>
      <c r="O113" s="92">
        <f t="shared" si="41"/>
        <v>85927.543746003488</v>
      </c>
      <c r="P113" s="92">
        <f t="shared" si="42"/>
        <v>41673.866481895449</v>
      </c>
      <c r="Q113" s="92">
        <f t="shared" si="43"/>
        <v>43856.783297613787</v>
      </c>
      <c r="R113" s="92">
        <f t="shared" si="44"/>
        <v>91285.61229367576</v>
      </c>
      <c r="S113" s="92">
        <f t="shared" si="45"/>
        <v>101207.96145603183</v>
      </c>
      <c r="U113" s="163">
        <f>N113*J113</f>
        <v>405</v>
      </c>
      <c r="V113" s="522">
        <f>N113*K113</f>
        <v>2025</v>
      </c>
      <c r="W113" s="320">
        <f>N113*L113</f>
        <v>1350</v>
      </c>
    </row>
    <row r="114" spans="1:23" ht="15.75">
      <c r="A114" s="147" t="s">
        <v>330</v>
      </c>
      <c r="B114" s="140" t="s">
        <v>486</v>
      </c>
      <c r="C114" s="63">
        <v>25200</v>
      </c>
      <c r="D114" s="63">
        <v>22200</v>
      </c>
      <c r="E114" s="63">
        <v>14250</v>
      </c>
      <c r="F114" s="63">
        <v>18650</v>
      </c>
      <c r="G114" s="63">
        <v>19550</v>
      </c>
      <c r="H114" s="305">
        <v>99850</v>
      </c>
      <c r="I114" s="302">
        <f t="shared" si="40"/>
        <v>99850</v>
      </c>
      <c r="J114" s="90">
        <v>34</v>
      </c>
      <c r="K114" s="519">
        <v>75</v>
      </c>
      <c r="L114" s="524">
        <v>50</v>
      </c>
      <c r="N114" s="185">
        <v>25</v>
      </c>
      <c r="O114" s="92">
        <f t="shared" si="41"/>
        <v>141355.1918657769</v>
      </c>
      <c r="P114" s="92">
        <f t="shared" si="42"/>
        <v>124527.19283413679</v>
      </c>
      <c r="Q114" s="92">
        <f t="shared" si="43"/>
        <v>79932.9954002905</v>
      </c>
      <c r="R114" s="92">
        <f t="shared" si="44"/>
        <v>104614.060646696</v>
      </c>
      <c r="S114" s="92">
        <f t="shared" si="45"/>
        <v>109662.46035618804</v>
      </c>
      <c r="U114" s="163">
        <f>N114*J114</f>
        <v>850</v>
      </c>
      <c r="V114" s="522">
        <f>N114*K114</f>
        <v>1875</v>
      </c>
      <c r="W114" s="320">
        <f>N114*L114</f>
        <v>1250</v>
      </c>
    </row>
    <row r="115" spans="1:23">
      <c r="A115" s="147" t="s">
        <v>215</v>
      </c>
      <c r="B115">
        <v>0</v>
      </c>
      <c r="C115" s="63">
        <v>7420</v>
      </c>
      <c r="D115" s="63">
        <v>5430</v>
      </c>
      <c r="E115" s="63">
        <v>3545</v>
      </c>
      <c r="F115" s="63">
        <v>2455</v>
      </c>
      <c r="G115" s="63">
        <v>6735</v>
      </c>
      <c r="H115" s="305">
        <v>25585</v>
      </c>
      <c r="I115" s="302">
        <f t="shared" si="40"/>
        <v>25585</v>
      </c>
      <c r="J115" s="90">
        <v>44</v>
      </c>
      <c r="K115" s="519">
        <v>100</v>
      </c>
      <c r="L115" s="524">
        <v>100</v>
      </c>
      <c r="N115" s="6">
        <v>0</v>
      </c>
      <c r="O115" s="92">
        <f t="shared" si="41"/>
        <v>33.344491951154041</v>
      </c>
      <c r="P115" s="92">
        <f t="shared" si="42"/>
        <v>24.401696939995478</v>
      </c>
      <c r="Q115" s="92">
        <f t="shared" si="43"/>
        <v>15.930757947013621</v>
      </c>
      <c r="R115" s="92">
        <f t="shared" si="44"/>
        <v>11.032443091655415</v>
      </c>
      <c r="S115" s="92">
        <f t="shared" si="45"/>
        <v>30.266193165905992</v>
      </c>
      <c r="U115" s="163">
        <f>(N115+1)*J115</f>
        <v>44</v>
      </c>
      <c r="V115" s="522">
        <f>(N115+1)*K115</f>
        <v>100</v>
      </c>
      <c r="W115" s="320">
        <f>(N115+1)*L115</f>
        <v>100</v>
      </c>
    </row>
    <row r="116" spans="1:23" ht="15.75">
      <c r="A116" s="147" t="s">
        <v>198</v>
      </c>
      <c r="B116" s="140" t="s">
        <v>486</v>
      </c>
      <c r="C116" s="63">
        <v>9300</v>
      </c>
      <c r="D116" s="63">
        <v>9500</v>
      </c>
      <c r="E116" s="63">
        <v>19200</v>
      </c>
      <c r="F116" s="63">
        <v>14000</v>
      </c>
      <c r="G116" s="63">
        <v>10200</v>
      </c>
      <c r="H116" s="305">
        <v>62200</v>
      </c>
      <c r="I116" s="302">
        <f t="shared" si="40"/>
        <v>62200</v>
      </c>
      <c r="J116" s="90">
        <v>20</v>
      </c>
      <c r="K116" s="519">
        <v>75</v>
      </c>
      <c r="L116" s="524">
        <v>50</v>
      </c>
      <c r="N116" s="185">
        <v>27</v>
      </c>
      <c r="O116" s="92">
        <f t="shared" si="41"/>
        <v>92277.847209911357</v>
      </c>
      <c r="P116" s="92">
        <f t="shared" si="42"/>
        <v>94262.31704238258</v>
      </c>
      <c r="Q116" s="92">
        <f t="shared" si="43"/>
        <v>190509.10391723635</v>
      </c>
      <c r="R116" s="92">
        <f t="shared" si="44"/>
        <v>138912.88827298486</v>
      </c>
      <c r="S116" s="92">
        <f t="shared" si="45"/>
        <v>101207.96145603183</v>
      </c>
      <c r="U116" s="163">
        <f t="shared" ref="U116:U122" si="49">N116*J116</f>
        <v>540</v>
      </c>
      <c r="V116" s="522">
        <f t="shared" ref="V116:V122" si="50">N116*K116</f>
        <v>2025</v>
      </c>
      <c r="W116" s="320">
        <f>N116*L116</f>
        <v>1350</v>
      </c>
    </row>
    <row r="117" spans="1:23" ht="15.75">
      <c r="A117" s="147" t="s">
        <v>205</v>
      </c>
      <c r="B117" s="140" t="s">
        <v>486</v>
      </c>
      <c r="C117" s="63">
        <v>4020</v>
      </c>
      <c r="D117" s="63">
        <v>8500</v>
      </c>
      <c r="E117" s="63">
        <v>6200</v>
      </c>
      <c r="F117" s="63">
        <v>4900</v>
      </c>
      <c r="G117" s="63">
        <v>1050</v>
      </c>
      <c r="H117" s="305">
        <v>24670</v>
      </c>
      <c r="I117" s="302">
        <f t="shared" si="40"/>
        <v>24670</v>
      </c>
      <c r="J117" s="90">
        <v>12</v>
      </c>
      <c r="K117" s="519">
        <v>50</v>
      </c>
      <c r="L117" s="524">
        <v>25</v>
      </c>
      <c r="N117" s="185">
        <v>29</v>
      </c>
      <c r="O117" s="92">
        <f t="shared" si="41"/>
        <v>70557.60660183242</v>
      </c>
      <c r="P117" s="92">
        <f t="shared" si="42"/>
        <v>149188.969182979</v>
      </c>
      <c r="Q117" s="92">
        <f t="shared" si="43"/>
        <v>108820.1892864082</v>
      </c>
      <c r="R117" s="92">
        <f t="shared" si="44"/>
        <v>86003.052823129052</v>
      </c>
      <c r="S117" s="92">
        <f t="shared" si="45"/>
        <v>18429.225604956227</v>
      </c>
      <c r="U117" s="163">
        <f t="shared" si="49"/>
        <v>348</v>
      </c>
      <c r="V117" s="522">
        <f t="shared" si="50"/>
        <v>1450</v>
      </c>
      <c r="W117" s="320">
        <f t="shared" ref="W117:W122" si="51">N117*L117</f>
        <v>725</v>
      </c>
    </row>
    <row r="118" spans="1:23" ht="15.75">
      <c r="A118" s="147" t="s">
        <v>258</v>
      </c>
      <c r="B118" s="140" t="s">
        <v>486</v>
      </c>
      <c r="C118" s="63">
        <v>4020</v>
      </c>
      <c r="D118" s="63">
        <v>14600</v>
      </c>
      <c r="E118" s="63">
        <v>12200</v>
      </c>
      <c r="F118" s="63">
        <v>8620</v>
      </c>
      <c r="G118" s="63">
        <v>9500</v>
      </c>
      <c r="H118" s="305">
        <v>48940</v>
      </c>
      <c r="I118" s="302">
        <f t="shared" si="40"/>
        <v>48940</v>
      </c>
      <c r="J118" s="90">
        <v>23</v>
      </c>
      <c r="K118" s="519">
        <v>50</v>
      </c>
      <c r="L118" s="524">
        <v>25</v>
      </c>
      <c r="N118" s="185">
        <v>27</v>
      </c>
      <c r="O118" s="92">
        <f t="shared" si="41"/>
        <v>39887.843632671364</v>
      </c>
      <c r="P118" s="92">
        <f t="shared" si="42"/>
        <v>144866.29777039849</v>
      </c>
      <c r="Q118" s="92">
        <f t="shared" si="43"/>
        <v>121052.65978074394</v>
      </c>
      <c r="R118" s="92">
        <f t="shared" si="44"/>
        <v>85530.649779509244</v>
      </c>
      <c r="S118" s="92">
        <f t="shared" si="45"/>
        <v>94262.31704238258</v>
      </c>
      <c r="U118" s="163">
        <f t="shared" si="49"/>
        <v>621</v>
      </c>
      <c r="V118" s="522">
        <f t="shared" si="50"/>
        <v>1350</v>
      </c>
      <c r="W118" s="320">
        <f t="shared" si="51"/>
        <v>675</v>
      </c>
    </row>
    <row r="119" spans="1:23" ht="15.75">
      <c r="A119" s="147" t="s">
        <v>207</v>
      </c>
      <c r="B119" s="140" t="s">
        <v>486</v>
      </c>
      <c r="C119" s="63">
        <v>3200</v>
      </c>
      <c r="D119" s="63">
        <v>5000</v>
      </c>
      <c r="E119" s="63">
        <v>11200</v>
      </c>
      <c r="F119" s="63">
        <v>8700</v>
      </c>
      <c r="G119" s="63">
        <v>6100</v>
      </c>
      <c r="H119" s="305">
        <v>34200</v>
      </c>
      <c r="I119" s="302">
        <f t="shared" si="40"/>
        <v>34200</v>
      </c>
      <c r="J119" s="90">
        <v>12</v>
      </c>
      <c r="K119" s="519">
        <v>50</v>
      </c>
      <c r="L119" s="524">
        <v>25</v>
      </c>
      <c r="N119" s="185">
        <v>30</v>
      </c>
      <c r="O119" s="92">
        <f t="shared" si="41"/>
        <v>74699.794452089234</v>
      </c>
      <c r="P119" s="92">
        <f t="shared" si="42"/>
        <v>116718.42883138942</v>
      </c>
      <c r="Q119" s="92">
        <f t="shared" si="43"/>
        <v>261449.28058231232</v>
      </c>
      <c r="R119" s="92">
        <f t="shared" si="44"/>
        <v>203090.06616661762</v>
      </c>
      <c r="S119" s="92">
        <f t="shared" si="45"/>
        <v>142396.48317429511</v>
      </c>
      <c r="U119" s="163">
        <f t="shared" si="49"/>
        <v>360</v>
      </c>
      <c r="V119" s="522">
        <f t="shared" si="50"/>
        <v>1500</v>
      </c>
      <c r="W119" s="320">
        <f t="shared" si="51"/>
        <v>750</v>
      </c>
    </row>
    <row r="120" spans="1:23" ht="15.75">
      <c r="A120" s="147" t="s">
        <v>516</v>
      </c>
      <c r="B120" s="140" t="s">
        <v>486</v>
      </c>
      <c r="C120" s="63">
        <v>3102</v>
      </c>
      <c r="D120" s="63">
        <v>1922</v>
      </c>
      <c r="E120" s="63">
        <v>4566</v>
      </c>
      <c r="F120" s="63">
        <v>6223</v>
      </c>
      <c r="G120" s="63">
        <v>3622</v>
      </c>
      <c r="H120" s="305">
        <v>19435</v>
      </c>
      <c r="I120" s="302">
        <f t="shared" si="40"/>
        <v>19435</v>
      </c>
      <c r="J120" s="90">
        <v>6</v>
      </c>
      <c r="K120" s="519">
        <v>25</v>
      </c>
      <c r="L120" s="524">
        <v>10</v>
      </c>
      <c r="N120" s="185">
        <v>31</v>
      </c>
      <c r="O120" s="92">
        <f t="shared" si="41"/>
        <v>96308.110618502003</v>
      </c>
      <c r="P120" s="92">
        <f t="shared" si="42"/>
        <v>59672.530176905493</v>
      </c>
      <c r="Q120" s="92">
        <f t="shared" si="43"/>
        <v>141761.06804773698</v>
      </c>
      <c r="R120" s="92">
        <f t="shared" si="44"/>
        <v>193206.11617631782</v>
      </c>
      <c r="S120" s="92">
        <f t="shared" si="45"/>
        <v>112452.60369445977</v>
      </c>
      <c r="U120" s="163">
        <f t="shared" si="49"/>
        <v>186</v>
      </c>
      <c r="V120" s="522">
        <f t="shared" si="50"/>
        <v>775</v>
      </c>
      <c r="W120" s="320">
        <f t="shared" si="51"/>
        <v>310</v>
      </c>
    </row>
    <row r="121" spans="1:23" ht="15.75">
      <c r="A121" s="147" t="s">
        <v>517</v>
      </c>
      <c r="B121" s="140" t="s">
        <v>486</v>
      </c>
      <c r="C121" s="63">
        <v>3601</v>
      </c>
      <c r="D121" s="63">
        <v>4520</v>
      </c>
      <c r="E121" s="63">
        <v>5621</v>
      </c>
      <c r="F121" s="63">
        <v>4212</v>
      </c>
      <c r="G121" s="63">
        <v>955</v>
      </c>
      <c r="H121" s="305">
        <v>18909</v>
      </c>
      <c r="I121" s="302">
        <f t="shared" si="40"/>
        <v>18909</v>
      </c>
      <c r="J121" s="90">
        <v>6</v>
      </c>
      <c r="K121" s="519">
        <v>25</v>
      </c>
      <c r="L121" s="524">
        <v>10</v>
      </c>
      <c r="N121" s="185">
        <v>31</v>
      </c>
      <c r="O121" s="92">
        <f t="shared" si="41"/>
        <v>111800.61455100763</v>
      </c>
      <c r="P121" s="92">
        <f t="shared" si="42"/>
        <v>140332.9013525561</v>
      </c>
      <c r="Q121" s="92">
        <f t="shared" si="43"/>
        <v>174515.76073068977</v>
      </c>
      <c r="R121" s="92">
        <f t="shared" si="44"/>
        <v>130770.39391525804</v>
      </c>
      <c r="S121" s="92">
        <f t="shared" si="45"/>
        <v>29649.982476037851</v>
      </c>
      <c r="U121" s="163">
        <f t="shared" si="49"/>
        <v>186</v>
      </c>
      <c r="V121" s="522">
        <f t="shared" si="50"/>
        <v>775</v>
      </c>
      <c r="W121" s="320">
        <f t="shared" si="51"/>
        <v>310</v>
      </c>
    </row>
    <row r="122" spans="1:23" ht="15.75">
      <c r="A122" s="147" t="s">
        <v>518</v>
      </c>
      <c r="B122" s="140" t="s">
        <v>486</v>
      </c>
      <c r="C122" s="63">
        <v>1360</v>
      </c>
      <c r="D122" s="63">
        <v>8331</v>
      </c>
      <c r="E122" s="63">
        <v>3252</v>
      </c>
      <c r="F122" s="63">
        <v>6220</v>
      </c>
      <c r="G122" s="63">
        <v>4210</v>
      </c>
      <c r="H122" s="306">
        <v>23373</v>
      </c>
      <c r="I122" s="312">
        <f t="shared" si="40"/>
        <v>23373</v>
      </c>
      <c r="J122" s="90">
        <v>8</v>
      </c>
      <c r="K122" s="519">
        <v>25</v>
      </c>
      <c r="L122" s="524">
        <v>10</v>
      </c>
      <c r="N122" s="185">
        <v>30</v>
      </c>
      <c r="O122" s="92">
        <f t="shared" si="41"/>
        <v>31747.412642137922</v>
      </c>
      <c r="P122" s="92">
        <f t="shared" si="42"/>
        <v>194476.24611886108</v>
      </c>
      <c r="Q122" s="92">
        <f t="shared" si="43"/>
        <v>75913.666111935672</v>
      </c>
      <c r="R122" s="92">
        <f t="shared" si="44"/>
        <v>145197.72546624843</v>
      </c>
      <c r="S122" s="92">
        <f t="shared" si="45"/>
        <v>98276.917076029888</v>
      </c>
      <c r="U122" s="163">
        <f t="shared" si="49"/>
        <v>240</v>
      </c>
      <c r="V122" s="522">
        <f t="shared" si="50"/>
        <v>750</v>
      </c>
      <c r="W122" s="320">
        <f t="shared" si="51"/>
        <v>300</v>
      </c>
    </row>
    <row r="123" spans="1:23">
      <c r="U123" s="322">
        <f>SUM(U84:U122)</f>
        <v>14995</v>
      </c>
      <c r="V123" s="523">
        <f>SUM(V84:V122)</f>
        <v>45335</v>
      </c>
      <c r="W123" s="321">
        <f>SUM(W84:W122)</f>
        <v>25230</v>
      </c>
    </row>
    <row r="125" spans="1:23">
      <c r="U125" s="322">
        <f>U123+U82+U48+U15</f>
        <v>109401</v>
      </c>
      <c r="V125" s="523">
        <f>V123+V82+V48+V15</f>
        <v>206165</v>
      </c>
      <c r="W125" s="321">
        <f>W123+W82+W48+W15</f>
        <v>126280</v>
      </c>
    </row>
  </sheetData>
  <mergeCells count="2">
    <mergeCell ref="C4:G4"/>
    <mergeCell ref="O4:S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U47"/>
  <sheetViews>
    <sheetView workbookViewId="0">
      <selection activeCell="E51" sqref="E51"/>
    </sheetView>
  </sheetViews>
  <sheetFormatPr baseColWidth="10" defaultRowHeight="15"/>
  <cols>
    <col min="1" max="1" width="17.85546875" bestFit="1" customWidth="1"/>
    <col min="2" max="2" width="15.7109375" bestFit="1" customWidth="1"/>
    <col min="3" max="3" width="8.5703125" bestFit="1" customWidth="1"/>
    <col min="4" max="4" width="8.140625" customWidth="1"/>
    <col min="5" max="5" width="7" bestFit="1" customWidth="1"/>
    <col min="6" max="7" width="8.5703125" bestFit="1" customWidth="1"/>
    <col min="8" max="8" width="7.5703125" customWidth="1"/>
    <col min="9" max="9" width="10.28515625" customWidth="1"/>
    <col min="10" max="10" width="9.42578125" bestFit="1" customWidth="1"/>
    <col min="11" max="11" width="3.140625" customWidth="1"/>
    <col min="12" max="12" width="16.5703125" customWidth="1"/>
    <col min="13" max="13" width="2.7109375" customWidth="1"/>
    <col min="14" max="14" width="9.140625" customWidth="1"/>
    <col min="15" max="15" width="7.28515625" customWidth="1"/>
    <col min="16" max="16" width="8.140625" customWidth="1"/>
    <col min="17" max="17" width="7.85546875" customWidth="1"/>
    <col min="18" max="18" width="8.7109375" customWidth="1"/>
    <col min="19" max="19" width="8" customWidth="1"/>
    <col min="20" max="20" width="9.85546875" bestFit="1" customWidth="1"/>
  </cols>
  <sheetData>
    <row r="2" spans="1:13">
      <c r="A2" s="24"/>
      <c r="B2" s="25"/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I2" s="5" t="s">
        <v>530</v>
      </c>
      <c r="J2" s="5" t="s">
        <v>531</v>
      </c>
      <c r="M2" s="76"/>
    </row>
    <row r="3" spans="1:13">
      <c r="A3" s="24" t="s">
        <v>21</v>
      </c>
      <c r="B3" s="25"/>
      <c r="C3" s="4">
        <v>2.42</v>
      </c>
      <c r="D3" s="7">
        <v>1</v>
      </c>
      <c r="E3" s="4">
        <v>2.36</v>
      </c>
      <c r="F3" s="4">
        <v>2.2999999999999998</v>
      </c>
      <c r="G3" s="4">
        <v>2.19</v>
      </c>
      <c r="I3" s="4">
        <v>248000</v>
      </c>
      <c r="J3" s="4">
        <v>10000</v>
      </c>
      <c r="M3" s="76"/>
    </row>
    <row r="5" spans="1:13">
      <c r="A5" s="150" t="s">
        <v>373</v>
      </c>
      <c r="B5" s="150"/>
      <c r="C5" s="150" t="s">
        <v>452</v>
      </c>
      <c r="D5" s="150" t="s">
        <v>2</v>
      </c>
      <c r="E5" s="150" t="s">
        <v>3</v>
      </c>
      <c r="F5" s="150" t="s">
        <v>4</v>
      </c>
      <c r="G5" s="150" t="s">
        <v>5</v>
      </c>
      <c r="H5" s="150" t="s">
        <v>6</v>
      </c>
      <c r="I5" s="150" t="s">
        <v>536</v>
      </c>
      <c r="J5" s="150" t="s">
        <v>22</v>
      </c>
    </row>
    <row r="6" spans="1:13">
      <c r="A6" t="s">
        <v>532</v>
      </c>
      <c r="I6" t="s">
        <v>728</v>
      </c>
      <c r="J6" s="92">
        <f t="shared" ref="J6:J25" si="0">D6*C$3+E6*D$3+F6*E$3+G6*F$3+H6*G$3+C6*J$3</f>
        <v>0</v>
      </c>
    </row>
    <row r="7" spans="1:13">
      <c r="A7" t="s">
        <v>533</v>
      </c>
      <c r="E7">
        <f>1.2*I3</f>
        <v>297600</v>
      </c>
      <c r="J7" s="92">
        <f t="shared" si="0"/>
        <v>297600</v>
      </c>
    </row>
    <row r="8" spans="1:13">
      <c r="A8" t="s">
        <v>534</v>
      </c>
      <c r="I8" t="s">
        <v>450</v>
      </c>
      <c r="J8" s="92">
        <f t="shared" si="0"/>
        <v>0</v>
      </c>
    </row>
    <row r="9" spans="1:13">
      <c r="A9" t="s">
        <v>535</v>
      </c>
      <c r="D9">
        <f>0.18*$I$3</f>
        <v>44640</v>
      </c>
      <c r="E9">
        <f>0.18*$I$3</f>
        <v>44640</v>
      </c>
      <c r="F9">
        <f>0.18*$I$3</f>
        <v>44640</v>
      </c>
      <c r="G9">
        <f>0.18*$I$3</f>
        <v>44640</v>
      </c>
      <c r="H9">
        <f>0.18*$I$3</f>
        <v>44640</v>
      </c>
      <c r="J9" s="92">
        <f t="shared" si="0"/>
        <v>458452.79999999993</v>
      </c>
    </row>
    <row r="10" spans="1:13">
      <c r="A10" t="s">
        <v>537</v>
      </c>
      <c r="H10">
        <f>0.76*I3</f>
        <v>188480</v>
      </c>
      <c r="J10" s="92">
        <f t="shared" si="0"/>
        <v>412771.2</v>
      </c>
    </row>
    <row r="11" spans="1:13">
      <c r="A11" t="s">
        <v>538</v>
      </c>
      <c r="D11">
        <f>0.76*I3</f>
        <v>188480</v>
      </c>
      <c r="J11" s="92">
        <f t="shared" si="0"/>
        <v>456121.59999999998</v>
      </c>
    </row>
    <row r="12" spans="1:13">
      <c r="A12" t="s">
        <v>539</v>
      </c>
      <c r="G12">
        <f>0.76*I3</f>
        <v>188480</v>
      </c>
      <c r="J12" s="92">
        <f t="shared" si="0"/>
        <v>433503.99999999994</v>
      </c>
    </row>
    <row r="13" spans="1:13">
      <c r="A13" t="s">
        <v>540</v>
      </c>
      <c r="F13">
        <f>0.76*I3</f>
        <v>188480</v>
      </c>
      <c r="J13" s="92">
        <f t="shared" si="0"/>
        <v>444812.79999999999</v>
      </c>
    </row>
    <row r="14" spans="1:13">
      <c r="A14" t="s">
        <v>541</v>
      </c>
      <c r="B14" t="s">
        <v>736</v>
      </c>
      <c r="C14">
        <v>7</v>
      </c>
      <c r="J14" s="92">
        <f t="shared" si="0"/>
        <v>70000</v>
      </c>
    </row>
    <row r="15" spans="1:13">
      <c r="A15" t="s">
        <v>542</v>
      </c>
      <c r="B15" t="s">
        <v>737</v>
      </c>
      <c r="C15">
        <v>9</v>
      </c>
      <c r="J15" s="92">
        <f t="shared" si="0"/>
        <v>90000</v>
      </c>
    </row>
    <row r="16" spans="1:13">
      <c r="A16" t="s">
        <v>543</v>
      </c>
      <c r="B16" t="s">
        <v>740</v>
      </c>
      <c r="C16">
        <v>13</v>
      </c>
      <c r="J16" s="92">
        <f t="shared" si="0"/>
        <v>130000</v>
      </c>
    </row>
    <row r="17" spans="1:21">
      <c r="A17" t="s">
        <v>544</v>
      </c>
      <c r="B17" t="s">
        <v>739</v>
      </c>
      <c r="C17">
        <v>21</v>
      </c>
      <c r="J17" s="92">
        <f t="shared" si="0"/>
        <v>210000</v>
      </c>
    </row>
    <row r="18" spans="1:21">
      <c r="A18" t="s">
        <v>545</v>
      </c>
      <c r="B18" t="s">
        <v>732</v>
      </c>
      <c r="C18">
        <v>5</v>
      </c>
      <c r="J18" s="92">
        <f t="shared" si="0"/>
        <v>50000</v>
      </c>
    </row>
    <row r="19" spans="1:21">
      <c r="A19" t="s">
        <v>546</v>
      </c>
      <c r="B19" t="s">
        <v>733</v>
      </c>
      <c r="C19">
        <v>14</v>
      </c>
      <c r="J19" s="92">
        <f t="shared" si="0"/>
        <v>140000</v>
      </c>
    </row>
    <row r="20" spans="1:21">
      <c r="A20" t="s">
        <v>547</v>
      </c>
      <c r="B20" t="s">
        <v>734</v>
      </c>
      <c r="C20">
        <v>19</v>
      </c>
      <c r="J20" s="92">
        <f t="shared" si="0"/>
        <v>190000</v>
      </c>
    </row>
    <row r="21" spans="1:21">
      <c r="A21" t="s">
        <v>548</v>
      </c>
      <c r="B21" t="s">
        <v>735</v>
      </c>
      <c r="C21">
        <v>22</v>
      </c>
      <c r="J21" s="92">
        <f t="shared" si="0"/>
        <v>220000</v>
      </c>
    </row>
    <row r="22" spans="1:21">
      <c r="A22" t="s">
        <v>549</v>
      </c>
      <c r="B22" t="s">
        <v>729</v>
      </c>
      <c r="C22">
        <v>6</v>
      </c>
      <c r="J22" s="92">
        <f t="shared" si="0"/>
        <v>60000</v>
      </c>
    </row>
    <row r="23" spans="1:21">
      <c r="A23" t="s">
        <v>550</v>
      </c>
      <c r="B23" t="s">
        <v>738</v>
      </c>
      <c r="C23">
        <v>8</v>
      </c>
      <c r="J23" s="92">
        <f t="shared" si="0"/>
        <v>80000</v>
      </c>
    </row>
    <row r="24" spans="1:21">
      <c r="A24" t="s">
        <v>551</v>
      </c>
      <c r="B24" t="s">
        <v>730</v>
      </c>
      <c r="C24">
        <v>10</v>
      </c>
      <c r="J24" s="92">
        <f t="shared" si="0"/>
        <v>100000</v>
      </c>
    </row>
    <row r="25" spans="1:21">
      <c r="A25" t="s">
        <v>552</v>
      </c>
      <c r="B25" t="s">
        <v>731</v>
      </c>
      <c r="C25">
        <v>17</v>
      </c>
      <c r="J25" s="92">
        <f t="shared" si="0"/>
        <v>170000</v>
      </c>
    </row>
    <row r="26" spans="1:21">
      <c r="L26" s="90"/>
      <c r="M26" s="90"/>
      <c r="N26" s="90"/>
      <c r="O26" s="90"/>
      <c r="P26" s="90"/>
      <c r="Q26" s="90"/>
      <c r="R26" s="90"/>
      <c r="S26" s="90"/>
      <c r="T26" s="90"/>
      <c r="U26" s="163"/>
    </row>
    <row r="29" spans="1:21" hidden="1">
      <c r="A29" s="69" t="s">
        <v>524</v>
      </c>
      <c r="B29" s="69" t="s">
        <v>34</v>
      </c>
      <c r="C29" s="69" t="s">
        <v>452</v>
      </c>
      <c r="D29" s="69" t="s">
        <v>2</v>
      </c>
      <c r="E29" s="69" t="s">
        <v>3</v>
      </c>
      <c r="F29" s="69" t="s">
        <v>4</v>
      </c>
      <c r="G29" s="69" t="s">
        <v>5</v>
      </c>
      <c r="H29" s="69" t="s">
        <v>6</v>
      </c>
      <c r="I29" s="150" t="s">
        <v>529</v>
      </c>
    </row>
    <row r="30" spans="1:21" hidden="1">
      <c r="A30" t="s">
        <v>67</v>
      </c>
      <c r="B30">
        <v>1</v>
      </c>
      <c r="C30">
        <v>1</v>
      </c>
      <c r="D30">
        <v>300</v>
      </c>
      <c r="E30">
        <v>220</v>
      </c>
      <c r="F30">
        <v>230</v>
      </c>
      <c r="G30">
        <v>450</v>
      </c>
      <c r="H30">
        <v>100</v>
      </c>
      <c r="I30" s="92">
        <f t="shared" ref="I30:I47" si="1">(D30*C$3+E30*D$3+F30*E$3+G30*F$3+H30*G$3)*B30/C30</f>
        <v>2742.8</v>
      </c>
    </row>
    <row r="31" spans="1:21" hidden="1">
      <c r="A31" t="s">
        <v>372</v>
      </c>
      <c r="B31">
        <v>1</v>
      </c>
      <c r="C31">
        <v>2</v>
      </c>
      <c r="D31">
        <v>0</v>
      </c>
      <c r="E31">
        <v>120</v>
      </c>
      <c r="F31">
        <v>0</v>
      </c>
      <c r="G31">
        <v>300</v>
      </c>
      <c r="H31">
        <v>500</v>
      </c>
      <c r="I31" s="92">
        <f t="shared" si="1"/>
        <v>952.5</v>
      </c>
    </row>
    <row r="32" spans="1:21" hidden="1">
      <c r="A32" t="s">
        <v>525</v>
      </c>
      <c r="B32">
        <v>1</v>
      </c>
      <c r="C32">
        <v>2</v>
      </c>
      <c r="D32">
        <v>200</v>
      </c>
      <c r="E32">
        <v>250</v>
      </c>
      <c r="F32">
        <v>180</v>
      </c>
      <c r="G32">
        <v>300</v>
      </c>
      <c r="H32">
        <v>150</v>
      </c>
      <c r="I32" s="92">
        <f t="shared" si="1"/>
        <v>1088.6500000000001</v>
      </c>
    </row>
    <row r="33" spans="1:9" hidden="1">
      <c r="A33" t="s">
        <v>502</v>
      </c>
      <c r="B33">
        <v>1</v>
      </c>
      <c r="C33">
        <v>4</v>
      </c>
      <c r="D33">
        <v>60</v>
      </c>
      <c r="E33">
        <v>200</v>
      </c>
      <c r="F33">
        <v>900</v>
      </c>
      <c r="G33">
        <v>120</v>
      </c>
      <c r="H33">
        <v>30</v>
      </c>
      <c r="I33" s="92">
        <f t="shared" si="1"/>
        <v>702.72499999999991</v>
      </c>
    </row>
    <row r="34" spans="1:9" hidden="1">
      <c r="A34" t="s">
        <v>369</v>
      </c>
      <c r="B34">
        <v>1</v>
      </c>
      <c r="C34">
        <v>6</v>
      </c>
      <c r="D34">
        <v>2130</v>
      </c>
      <c r="E34">
        <v>1230</v>
      </c>
      <c r="F34">
        <v>1235</v>
      </c>
      <c r="G34">
        <v>2200</v>
      </c>
      <c r="H34">
        <v>6000</v>
      </c>
      <c r="I34" s="92">
        <f t="shared" si="1"/>
        <v>4583.2</v>
      </c>
    </row>
    <row r="35" spans="1:9" hidden="1">
      <c r="A35" t="s">
        <v>66</v>
      </c>
      <c r="B35">
        <v>1</v>
      </c>
      <c r="C35">
        <v>2</v>
      </c>
      <c r="D35">
        <v>700</v>
      </c>
      <c r="E35">
        <v>500</v>
      </c>
      <c r="F35">
        <v>800</v>
      </c>
      <c r="G35">
        <v>300</v>
      </c>
      <c r="H35">
        <v>700</v>
      </c>
      <c r="I35" s="92">
        <f t="shared" si="1"/>
        <v>3152.5</v>
      </c>
    </row>
    <row r="36" spans="1:9" hidden="1">
      <c r="A36" t="s">
        <v>368</v>
      </c>
      <c r="B36">
        <v>1</v>
      </c>
      <c r="C36">
        <v>3</v>
      </c>
      <c r="D36">
        <v>680</v>
      </c>
      <c r="E36">
        <v>1000</v>
      </c>
      <c r="F36">
        <v>320</v>
      </c>
      <c r="G36">
        <v>600</v>
      </c>
      <c r="H36">
        <v>200</v>
      </c>
      <c r="I36" s="92">
        <f t="shared" si="1"/>
        <v>1739.5999999999997</v>
      </c>
    </row>
    <row r="37" spans="1:9" hidden="1">
      <c r="A37" t="s">
        <v>526</v>
      </c>
      <c r="B37">
        <v>1</v>
      </c>
      <c r="C37">
        <v>6</v>
      </c>
      <c r="D37">
        <v>5500</v>
      </c>
      <c r="E37">
        <v>5200</v>
      </c>
      <c r="F37">
        <v>5000</v>
      </c>
      <c r="G37">
        <v>6000</v>
      </c>
      <c r="H37">
        <v>3000</v>
      </c>
      <c r="I37" s="92">
        <f t="shared" si="1"/>
        <v>8446.6666666666661</v>
      </c>
    </row>
    <row r="38" spans="1:9" hidden="1">
      <c r="A38" t="s">
        <v>381</v>
      </c>
      <c r="B38">
        <v>1</v>
      </c>
      <c r="C38">
        <v>8</v>
      </c>
      <c r="D38">
        <v>5000</v>
      </c>
      <c r="E38">
        <v>3900</v>
      </c>
      <c r="F38">
        <v>4250</v>
      </c>
      <c r="G38">
        <v>2650</v>
      </c>
      <c r="H38">
        <v>4300</v>
      </c>
      <c r="I38" s="92">
        <f t="shared" si="1"/>
        <v>5192.75</v>
      </c>
    </row>
    <row r="39" spans="1:9" hidden="1">
      <c r="A39" t="s">
        <v>58</v>
      </c>
      <c r="B39">
        <v>1</v>
      </c>
      <c r="C39">
        <v>4</v>
      </c>
      <c r="D39">
        <v>2350</v>
      </c>
      <c r="E39">
        <v>3890</v>
      </c>
      <c r="F39">
        <v>1200</v>
      </c>
      <c r="G39">
        <v>2000</v>
      </c>
      <c r="H39">
        <v>850</v>
      </c>
      <c r="I39" s="92">
        <f t="shared" si="1"/>
        <v>4717.625</v>
      </c>
    </row>
    <row r="40" spans="1:9" hidden="1">
      <c r="A40" t="s">
        <v>382</v>
      </c>
      <c r="B40">
        <v>1</v>
      </c>
      <c r="C40">
        <v>5</v>
      </c>
      <c r="D40">
        <v>3100</v>
      </c>
      <c r="E40">
        <v>3000</v>
      </c>
      <c r="F40">
        <v>1300</v>
      </c>
      <c r="G40">
        <v>3280</v>
      </c>
      <c r="H40">
        <v>990</v>
      </c>
      <c r="I40" s="92">
        <f t="shared" si="1"/>
        <v>4656.42</v>
      </c>
    </row>
    <row r="41" spans="1:9" hidden="1">
      <c r="A41" t="s">
        <v>527</v>
      </c>
      <c r="B41">
        <v>1</v>
      </c>
      <c r="C41">
        <v>6</v>
      </c>
      <c r="D41">
        <v>3000</v>
      </c>
      <c r="E41">
        <v>5000</v>
      </c>
      <c r="F41">
        <v>8000</v>
      </c>
      <c r="G41">
        <v>2000</v>
      </c>
      <c r="H41">
        <v>1000</v>
      </c>
      <c r="I41" s="92">
        <f t="shared" si="1"/>
        <v>6321.666666666667</v>
      </c>
    </row>
    <row r="42" spans="1:9" hidden="1">
      <c r="A42" t="s">
        <v>528</v>
      </c>
      <c r="B42">
        <v>1</v>
      </c>
      <c r="C42">
        <v>12</v>
      </c>
      <c r="D42">
        <v>15000</v>
      </c>
      <c r="E42">
        <v>14700</v>
      </c>
      <c r="F42">
        <v>30000</v>
      </c>
      <c r="G42">
        <v>13000</v>
      </c>
      <c r="H42">
        <v>12500</v>
      </c>
      <c r="I42" s="92">
        <f t="shared" si="1"/>
        <v>14922.916666666666</v>
      </c>
    </row>
    <row r="43" spans="1:9" hidden="1">
      <c r="A43" t="s">
        <v>380</v>
      </c>
      <c r="B43">
        <v>1</v>
      </c>
      <c r="C43">
        <v>9</v>
      </c>
      <c r="D43">
        <v>12000</v>
      </c>
      <c r="E43">
        <v>8000</v>
      </c>
      <c r="F43">
        <v>10000</v>
      </c>
      <c r="G43">
        <v>4000</v>
      </c>
      <c r="H43">
        <v>11000</v>
      </c>
      <c r="I43" s="92">
        <f t="shared" si="1"/>
        <v>10436.666666666666</v>
      </c>
    </row>
    <row r="44" spans="1:9" hidden="1">
      <c r="A44" t="s">
        <v>379</v>
      </c>
      <c r="B44">
        <v>1</v>
      </c>
      <c r="C44">
        <v>8</v>
      </c>
      <c r="D44">
        <v>16500</v>
      </c>
      <c r="E44">
        <v>9000</v>
      </c>
      <c r="F44">
        <v>12500</v>
      </c>
      <c r="G44">
        <v>24500</v>
      </c>
      <c r="H44">
        <v>22500</v>
      </c>
      <c r="I44" s="92">
        <f t="shared" si="1"/>
        <v>23006.875</v>
      </c>
    </row>
    <row r="45" spans="1:9" hidden="1">
      <c r="A45" t="s">
        <v>377</v>
      </c>
      <c r="B45">
        <v>1</v>
      </c>
      <c r="C45">
        <v>14</v>
      </c>
      <c r="D45">
        <v>20000</v>
      </c>
      <c r="E45">
        <v>12000</v>
      </c>
      <c r="F45">
        <v>15000</v>
      </c>
      <c r="G45">
        <v>27800</v>
      </c>
      <c r="H45">
        <v>25920</v>
      </c>
      <c r="I45" s="92">
        <f t="shared" si="1"/>
        <v>15464.628571428571</v>
      </c>
    </row>
    <row r="46" spans="1:9" hidden="1">
      <c r="A46" t="s">
        <v>374</v>
      </c>
      <c r="B46">
        <v>1</v>
      </c>
      <c r="C46">
        <v>12</v>
      </c>
      <c r="D46">
        <v>20000</v>
      </c>
      <c r="E46">
        <v>22800</v>
      </c>
      <c r="F46">
        <v>23500</v>
      </c>
      <c r="G46">
        <v>25000</v>
      </c>
      <c r="H46">
        <v>21250</v>
      </c>
      <c r="I46" s="92">
        <f t="shared" si="1"/>
        <v>19224.791666666668</v>
      </c>
    </row>
    <row r="47" spans="1:9" hidden="1">
      <c r="A47" t="s">
        <v>378</v>
      </c>
      <c r="B47">
        <v>1</v>
      </c>
      <c r="C47">
        <v>18</v>
      </c>
      <c r="D47">
        <v>21500</v>
      </c>
      <c r="E47">
        <v>17000</v>
      </c>
      <c r="F47">
        <v>21000</v>
      </c>
      <c r="G47">
        <v>20000</v>
      </c>
      <c r="H47">
        <v>19000</v>
      </c>
      <c r="I47" s="92">
        <f t="shared" si="1"/>
        <v>11455.555555555555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7"/>
  <sheetViews>
    <sheetView workbookViewId="0">
      <selection activeCell="O31" sqref="O31"/>
    </sheetView>
  </sheetViews>
  <sheetFormatPr baseColWidth="10" defaultRowHeight="15"/>
  <cols>
    <col min="1" max="1" width="14" customWidth="1"/>
    <col min="2" max="2" width="6.7109375" customWidth="1"/>
    <col min="3" max="3" width="6" style="28" customWidth="1"/>
    <col min="4" max="4" width="6" style="28" hidden="1" customWidth="1"/>
    <col min="5" max="5" width="5.140625" style="28" customWidth="1"/>
    <col min="6" max="6" width="6.140625" style="28" hidden="1" customWidth="1"/>
    <col min="7" max="7" width="6" style="28" customWidth="1"/>
    <col min="8" max="8" width="6" style="28" hidden="1" customWidth="1"/>
    <col min="9" max="9" width="7.140625" style="28" customWidth="1"/>
    <col min="10" max="10" width="6.42578125" style="28" hidden="1" customWidth="1"/>
    <col min="11" max="11" width="6.140625" style="28" customWidth="1"/>
    <col min="12" max="12" width="6.140625" style="28" hidden="1" customWidth="1"/>
    <col min="13" max="13" width="8.42578125" style="28" hidden="1" customWidth="1"/>
    <col min="14" max="14" width="13.7109375" customWidth="1"/>
    <col min="15" max="15" width="13.5703125" customWidth="1"/>
    <col min="16" max="16" width="14" customWidth="1"/>
    <col min="17" max="17" width="13.7109375" customWidth="1"/>
    <col min="18" max="18" width="13.5703125" customWidth="1"/>
  </cols>
  <sheetData>
    <row r="1" spans="1:18">
      <c r="A1" s="1" t="s">
        <v>700</v>
      </c>
    </row>
    <row r="4" spans="1:18" ht="15.75" thickBot="1"/>
    <row r="5" spans="1:18" ht="15.75" thickBot="1">
      <c r="C5" s="560" t="s">
        <v>480</v>
      </c>
      <c r="D5" s="561"/>
      <c r="E5" s="561"/>
      <c r="F5" s="561"/>
      <c r="G5" s="561"/>
      <c r="H5" s="561"/>
      <c r="I5" s="561"/>
      <c r="J5" s="561"/>
      <c r="K5" s="561"/>
      <c r="L5" s="562"/>
      <c r="M5" s="617" t="s">
        <v>802</v>
      </c>
      <c r="N5" s="557" t="s">
        <v>23</v>
      </c>
      <c r="O5" s="558"/>
      <c r="P5" s="558"/>
      <c r="Q5" s="558"/>
      <c r="R5" s="559"/>
    </row>
    <row r="6" spans="1:18" ht="15.75" thickBot="1">
      <c r="A6" s="64" t="s">
        <v>687</v>
      </c>
      <c r="B6" s="64" t="s">
        <v>59</v>
      </c>
      <c r="C6" s="563" t="s">
        <v>2</v>
      </c>
      <c r="D6" s="564"/>
      <c r="E6" s="564" t="s">
        <v>3</v>
      </c>
      <c r="F6" s="564"/>
      <c r="G6" s="564" t="s">
        <v>4</v>
      </c>
      <c r="H6" s="564"/>
      <c r="I6" s="564" t="s">
        <v>5</v>
      </c>
      <c r="J6" s="564"/>
      <c r="K6" s="564" t="s">
        <v>6</v>
      </c>
      <c r="L6" s="565"/>
      <c r="M6" s="618"/>
      <c r="N6" s="24" t="s">
        <v>2</v>
      </c>
      <c r="O6" s="281" t="s">
        <v>3</v>
      </c>
      <c r="P6" s="70" t="s">
        <v>4</v>
      </c>
      <c r="Q6" s="281" t="s">
        <v>5</v>
      </c>
      <c r="R6" s="285" t="s">
        <v>6</v>
      </c>
    </row>
    <row r="7" spans="1:18">
      <c r="A7" s="117" t="s">
        <v>453</v>
      </c>
      <c r="B7" s="465"/>
      <c r="C7" s="456">
        <v>240</v>
      </c>
      <c r="D7" s="469">
        <f>C7/(C7+E7+G7+I7+K7)</f>
        <v>0.25531914893617019</v>
      </c>
      <c r="E7" s="457">
        <v>70</v>
      </c>
      <c r="F7" s="469">
        <f>E7/(E7+G7+I7+K7+C7)</f>
        <v>7.4468085106382975E-2</v>
      </c>
      <c r="G7" s="458">
        <v>290</v>
      </c>
      <c r="H7" s="469">
        <f>G7/(G7+I7+K7+C7+E7)</f>
        <v>0.30851063829787234</v>
      </c>
      <c r="I7" s="458">
        <v>210</v>
      </c>
      <c r="J7" s="469">
        <f>I7/(I7+K7+C7+E7+G7)</f>
        <v>0.22340425531914893</v>
      </c>
      <c r="K7" s="458">
        <v>130</v>
      </c>
      <c r="L7" s="470">
        <f>K7/(K7+C7+E7+G7+I7)</f>
        <v>0.13829787234042554</v>
      </c>
      <c r="M7" s="619">
        <v>1.8</v>
      </c>
      <c r="N7" s="253">
        <f>C7*$M7^$B7</f>
        <v>240</v>
      </c>
      <c r="O7" s="278">
        <f t="shared" ref="O7:O12" si="0">E7*$M7^$B7</f>
        <v>70</v>
      </c>
      <c r="P7" s="282">
        <f t="shared" ref="P7:P12" si="1">G7*$M7^$B7</f>
        <v>290</v>
      </c>
      <c r="Q7" s="278">
        <f t="shared" ref="Q7:Q12" si="2">I7*$M7^$B7</f>
        <v>210</v>
      </c>
      <c r="R7" s="286">
        <f t="shared" ref="R7:R12" si="3">K7*$M7^$B7</f>
        <v>130</v>
      </c>
    </row>
    <row r="8" spans="1:18">
      <c r="A8" s="24" t="s">
        <v>688</v>
      </c>
      <c r="B8" s="466"/>
      <c r="C8" s="459">
        <v>240</v>
      </c>
      <c r="D8" s="468">
        <f t="shared" ref="D8:D18" si="4">C8/(C8+E8+G8+I8+K8)</f>
        <v>0.38709677419354838</v>
      </c>
      <c r="E8" s="460">
        <v>40</v>
      </c>
      <c r="F8" s="468">
        <f t="shared" ref="F8:F18" si="5">E8/(E8+G8+I8+K8+C8)</f>
        <v>6.4516129032258063E-2</v>
      </c>
      <c r="G8" s="461">
        <v>250</v>
      </c>
      <c r="H8" s="468">
        <f t="shared" ref="H8:H18" si="6">G8/(G8+I8+K8+C8+E8)</f>
        <v>0.40322580645161288</v>
      </c>
      <c r="I8" s="461">
        <v>70</v>
      </c>
      <c r="J8" s="468">
        <f t="shared" ref="J8:J18" si="7">I8/(I8+K8+C8+E8+G8)</f>
        <v>0.11290322580645161</v>
      </c>
      <c r="K8" s="461">
        <v>20</v>
      </c>
      <c r="L8" s="471">
        <f t="shared" ref="L8:L18" si="8">K8/(K8+C8+E8+G8+I8)</f>
        <v>3.2258064516129031E-2</v>
      </c>
      <c r="M8" s="620">
        <v>1.8</v>
      </c>
      <c r="N8" s="254">
        <f t="shared" ref="N8:N18" si="9">C8*$M8^$B8</f>
        <v>240</v>
      </c>
      <c r="O8" s="279">
        <f t="shared" si="0"/>
        <v>40</v>
      </c>
      <c r="P8" s="283">
        <f t="shared" si="1"/>
        <v>250</v>
      </c>
      <c r="Q8" s="279">
        <f t="shared" si="2"/>
        <v>70</v>
      </c>
      <c r="R8" s="287">
        <f t="shared" si="3"/>
        <v>20</v>
      </c>
    </row>
    <row r="9" spans="1:18">
      <c r="A9" s="24" t="s">
        <v>689</v>
      </c>
      <c r="B9" s="466"/>
      <c r="C9" s="459">
        <v>13500</v>
      </c>
      <c r="D9" s="468">
        <f t="shared" si="4"/>
        <v>0.38297872340425532</v>
      </c>
      <c r="E9" s="460">
        <v>0</v>
      </c>
      <c r="F9" s="468">
        <f t="shared" si="5"/>
        <v>0</v>
      </c>
      <c r="G9" s="461">
        <v>20250</v>
      </c>
      <c r="H9" s="468">
        <f t="shared" si="6"/>
        <v>0.57446808510638303</v>
      </c>
      <c r="I9" s="461">
        <v>1500</v>
      </c>
      <c r="J9" s="468">
        <f t="shared" si="7"/>
        <v>4.2553191489361701E-2</v>
      </c>
      <c r="K9" s="461">
        <v>0</v>
      </c>
      <c r="L9" s="471">
        <f t="shared" si="8"/>
        <v>0</v>
      </c>
      <c r="M9" s="620">
        <v>1.36</v>
      </c>
      <c r="N9" s="254">
        <f t="shared" si="9"/>
        <v>13500</v>
      </c>
      <c r="O9" s="279">
        <f t="shared" si="0"/>
        <v>0</v>
      </c>
      <c r="P9" s="283">
        <f t="shared" si="1"/>
        <v>20250</v>
      </c>
      <c r="Q9" s="279">
        <f t="shared" si="2"/>
        <v>1500</v>
      </c>
      <c r="R9" s="287">
        <f t="shared" si="3"/>
        <v>0</v>
      </c>
    </row>
    <row r="10" spans="1:18">
      <c r="A10" s="24" t="s">
        <v>690</v>
      </c>
      <c r="B10" s="466"/>
      <c r="C10" s="459">
        <v>5850</v>
      </c>
      <c r="D10" s="468">
        <f>C10/(C10+E10+G10+I10+K10)</f>
        <v>0.16049382716049382</v>
      </c>
      <c r="E10" s="460">
        <v>9000</v>
      </c>
      <c r="F10" s="468">
        <f>E10/(E10+G10+I10+K10+C10)</f>
        <v>0.24691358024691357</v>
      </c>
      <c r="G10" s="461">
        <v>8850</v>
      </c>
      <c r="H10" s="468">
        <f>G10/(G10+I10+K10+C10+E10)</f>
        <v>0.24279835390946503</v>
      </c>
      <c r="I10" s="461">
        <v>7500</v>
      </c>
      <c r="J10" s="468">
        <f>I10/(I10+K10+C10+E10+G10)</f>
        <v>0.20576131687242799</v>
      </c>
      <c r="K10" s="461">
        <v>5250</v>
      </c>
      <c r="L10" s="471">
        <f>K10/(K10+C10+E10+G10+I10)</f>
        <v>0.1440329218106996</v>
      </c>
      <c r="M10" s="620">
        <v>1.5</v>
      </c>
      <c r="N10" s="254">
        <f>C10*$M10^$B10</f>
        <v>5850</v>
      </c>
      <c r="O10" s="279">
        <f t="shared" si="0"/>
        <v>9000</v>
      </c>
      <c r="P10" s="283">
        <f t="shared" si="1"/>
        <v>8850</v>
      </c>
      <c r="Q10" s="279">
        <f t="shared" si="2"/>
        <v>7500</v>
      </c>
      <c r="R10" s="287">
        <f t="shared" si="3"/>
        <v>5250</v>
      </c>
    </row>
    <row r="11" spans="1:18">
      <c r="A11" s="24" t="s">
        <v>691</v>
      </c>
      <c r="B11" s="466"/>
      <c r="C11" s="459">
        <v>5000</v>
      </c>
      <c r="D11" s="468">
        <f>C11/(C11+E11+G11+I11+K11)</f>
        <v>0.24813895781637718</v>
      </c>
      <c r="E11" s="460">
        <v>3250</v>
      </c>
      <c r="F11" s="468">
        <f>E11/(E11+G11+I11+K11+C11)</f>
        <v>0.16129032258064516</v>
      </c>
      <c r="G11" s="461">
        <v>4800</v>
      </c>
      <c r="H11" s="468">
        <f>G11/(G11+I11+K11+C11+E11)</f>
        <v>0.23821339950372208</v>
      </c>
      <c r="I11" s="461">
        <v>2600</v>
      </c>
      <c r="J11" s="468">
        <f>I11/(I11+K11+C11+E11+G11)</f>
        <v>0.12903225806451613</v>
      </c>
      <c r="K11" s="461">
        <v>4500</v>
      </c>
      <c r="L11" s="471">
        <f>K11/(K11+C11+E11+G11+I11)</f>
        <v>0.22332506203473945</v>
      </c>
      <c r="M11" s="620">
        <v>1.85</v>
      </c>
      <c r="N11" s="254">
        <f>C11*$M11^$B11</f>
        <v>5000</v>
      </c>
      <c r="O11" s="279">
        <f t="shared" si="0"/>
        <v>3250</v>
      </c>
      <c r="P11" s="283">
        <f t="shared" si="1"/>
        <v>4800</v>
      </c>
      <c r="Q11" s="279">
        <f t="shared" si="2"/>
        <v>2600</v>
      </c>
      <c r="R11" s="287">
        <f t="shared" si="3"/>
        <v>4500</v>
      </c>
    </row>
    <row r="12" spans="1:18" ht="15.75" thickBot="1">
      <c r="A12" s="24" t="s">
        <v>366</v>
      </c>
      <c r="B12" s="466"/>
      <c r="C12" s="459">
        <v>60</v>
      </c>
      <c r="D12" s="468">
        <f>C12/(C12+E12+G12+I12+K12)</f>
        <v>6.741573033707865E-2</v>
      </c>
      <c r="E12" s="460">
        <v>520</v>
      </c>
      <c r="F12" s="468">
        <f>E12/(E12+G12+I12+K12+C12)</f>
        <v>0.5842696629213483</v>
      </c>
      <c r="G12" s="461">
        <v>20</v>
      </c>
      <c r="H12" s="468">
        <f>G12/(G12+I12+K12+C12+E12)</f>
        <v>2.247191011235955E-2</v>
      </c>
      <c r="I12" s="461">
        <v>90</v>
      </c>
      <c r="J12" s="468">
        <f>I12/(I12+K12+C12+E12+G12)</f>
        <v>0.10112359550561797</v>
      </c>
      <c r="K12" s="461">
        <v>200</v>
      </c>
      <c r="L12" s="471">
        <f>K12/(K12+C12+E12+G12+I12)</f>
        <v>0.2247191011235955</v>
      </c>
      <c r="M12" s="620">
        <v>1.8</v>
      </c>
      <c r="N12" s="254">
        <f>C12*$M12^$B12</f>
        <v>60</v>
      </c>
      <c r="O12" s="279">
        <f t="shared" si="0"/>
        <v>520</v>
      </c>
      <c r="P12" s="283">
        <f t="shared" si="1"/>
        <v>20</v>
      </c>
      <c r="Q12" s="279">
        <f t="shared" si="2"/>
        <v>90</v>
      </c>
      <c r="R12" s="287">
        <f t="shared" si="3"/>
        <v>200</v>
      </c>
    </row>
    <row r="13" spans="1:18" ht="15.75" thickBot="1">
      <c r="A13" s="64"/>
      <c r="B13" s="474"/>
      <c r="C13" s="475"/>
      <c r="D13" s="476">
        <f>SUM(D7:D12)</f>
        <v>1.5014431618479234</v>
      </c>
      <c r="E13" s="477"/>
      <c r="F13" s="476">
        <f>SUM(F7:F12)</f>
        <v>1.131457779887548</v>
      </c>
      <c r="G13" s="478"/>
      <c r="H13" s="476">
        <f>SUM(H7:H12)</f>
        <v>1.7896881933814148</v>
      </c>
      <c r="I13" s="478"/>
      <c r="J13" s="476">
        <f>SUM(J7:J12)</f>
        <v>0.81477784305752443</v>
      </c>
      <c r="K13" s="478"/>
      <c r="L13" s="479">
        <f>SUM(L7:L12)</f>
        <v>0.76263302182558912</v>
      </c>
      <c r="M13" s="621"/>
      <c r="N13" s="480"/>
      <c r="O13" s="481"/>
      <c r="P13" s="482"/>
      <c r="Q13" s="481"/>
      <c r="R13" s="483"/>
    </row>
    <row r="14" spans="1:18">
      <c r="A14" s="117" t="s">
        <v>640</v>
      </c>
      <c r="B14" s="465">
        <v>19</v>
      </c>
      <c r="C14" s="456">
        <v>60</v>
      </c>
      <c r="D14" s="469">
        <f>C14/(C14+E14+G14+I14+K14)</f>
        <v>0.11320754716981132</v>
      </c>
      <c r="E14" s="457">
        <v>80</v>
      </c>
      <c r="F14" s="469">
        <f>E14/(E14+G14+I14+K14+C14)</f>
        <v>0.15094339622641509</v>
      </c>
      <c r="G14" s="458">
        <v>50</v>
      </c>
      <c r="H14" s="469">
        <f>G14/(G14+I14+K14+C14+E14)</f>
        <v>9.4339622641509441E-2</v>
      </c>
      <c r="I14" s="458">
        <v>90</v>
      </c>
      <c r="J14" s="469">
        <f>I14/(I14+K14+C14+E14+G14)</f>
        <v>0.16981132075471697</v>
      </c>
      <c r="K14" s="458">
        <v>250</v>
      </c>
      <c r="L14" s="470">
        <f>K14/(K14+C14+E14+G14+I14)</f>
        <v>0.47169811320754718</v>
      </c>
      <c r="M14" s="619">
        <v>1.8</v>
      </c>
      <c r="N14" s="253">
        <f>C14*$M14^$B14</f>
        <v>4249412.0721320305</v>
      </c>
      <c r="O14" s="278">
        <f>E14*$M14^$B14</f>
        <v>5665882.7628427073</v>
      </c>
      <c r="P14" s="282">
        <f>G14*$M14^$B14</f>
        <v>3541176.7267766916</v>
      </c>
      <c r="Q14" s="278">
        <f>I14*$M14^$B14</f>
        <v>6374118.1081980448</v>
      </c>
      <c r="R14" s="286">
        <f>K14*$M14^$B14</f>
        <v>17705883.633883458</v>
      </c>
    </row>
    <row r="15" spans="1:18">
      <c r="A15" s="24" t="s">
        <v>361</v>
      </c>
      <c r="B15" s="466">
        <v>25</v>
      </c>
      <c r="C15" s="459">
        <v>1040</v>
      </c>
      <c r="D15" s="468">
        <f t="shared" si="4"/>
        <v>0.1111111111111111</v>
      </c>
      <c r="E15" s="460">
        <v>325</v>
      </c>
      <c r="F15" s="468">
        <f t="shared" si="5"/>
        <v>3.4722222222222224E-2</v>
      </c>
      <c r="G15" s="461">
        <v>2080</v>
      </c>
      <c r="H15" s="468">
        <f t="shared" si="6"/>
        <v>0.22222222222222221</v>
      </c>
      <c r="I15" s="461">
        <v>4030</v>
      </c>
      <c r="J15" s="468">
        <f t="shared" si="7"/>
        <v>0.43055555555555558</v>
      </c>
      <c r="K15" s="461">
        <v>1885</v>
      </c>
      <c r="L15" s="471">
        <f t="shared" si="8"/>
        <v>0.2013888888888889</v>
      </c>
      <c r="M15" s="620">
        <v>1.35</v>
      </c>
      <c r="N15" s="254">
        <f t="shared" si="9"/>
        <v>1885287.3421367796</v>
      </c>
      <c r="O15" s="279">
        <f>E15*$M15^$B15</f>
        <v>589152.29441774357</v>
      </c>
      <c r="P15" s="283">
        <f>G15*$M15^$B15</f>
        <v>3770574.6842735591</v>
      </c>
      <c r="Q15" s="279">
        <f>I15*$M15^$B15</f>
        <v>7305488.450780021</v>
      </c>
      <c r="R15" s="287">
        <f>K15*$M15^$B15</f>
        <v>3417083.3076229128</v>
      </c>
    </row>
    <row r="16" spans="1:18">
      <c r="A16" s="24" t="s">
        <v>363</v>
      </c>
      <c r="B16" s="466">
        <v>19</v>
      </c>
      <c r="C16" s="459">
        <v>2000</v>
      </c>
      <c r="D16" s="468">
        <f t="shared" si="4"/>
        <v>0.2012072434607646</v>
      </c>
      <c r="E16" s="460">
        <v>2060</v>
      </c>
      <c r="F16" s="468">
        <f t="shared" si="5"/>
        <v>0.20724346076458752</v>
      </c>
      <c r="G16" s="461">
        <v>3000</v>
      </c>
      <c r="H16" s="468">
        <f t="shared" si="6"/>
        <v>0.30181086519114686</v>
      </c>
      <c r="I16" s="461">
        <v>1200</v>
      </c>
      <c r="J16" s="468">
        <f t="shared" si="7"/>
        <v>0.12072434607645875</v>
      </c>
      <c r="K16" s="461">
        <v>1680</v>
      </c>
      <c r="L16" s="471">
        <f t="shared" si="8"/>
        <v>0.16901408450704225</v>
      </c>
      <c r="M16" s="620">
        <v>1.5</v>
      </c>
      <c r="N16" s="254">
        <f t="shared" si="9"/>
        <v>4433675.6401062012</v>
      </c>
      <c r="O16" s="279">
        <f>E16*$M16^$B16</f>
        <v>4566685.9093093872</v>
      </c>
      <c r="P16" s="283">
        <f>G16*$M16^$B16</f>
        <v>6650513.4601593018</v>
      </c>
      <c r="Q16" s="279">
        <f>I16*$M16^$B16</f>
        <v>2660205.3840637207</v>
      </c>
      <c r="R16" s="287">
        <f>K16*$M16^$B16</f>
        <v>3724287.537689209</v>
      </c>
    </row>
    <row r="17" spans="1:18">
      <c r="A17" s="24" t="s">
        <v>364</v>
      </c>
      <c r="B17" s="466">
        <v>21</v>
      </c>
      <c r="C17" s="459">
        <v>2900</v>
      </c>
      <c r="D17" s="468">
        <f t="shared" si="4"/>
        <v>0.2307447485677912</v>
      </c>
      <c r="E17" s="460">
        <v>2720</v>
      </c>
      <c r="F17" s="468">
        <f t="shared" si="5"/>
        <v>0.21642266072565244</v>
      </c>
      <c r="G17" s="461">
        <v>2350</v>
      </c>
      <c r="H17" s="468">
        <f t="shared" si="6"/>
        <v>0.18698281349458942</v>
      </c>
      <c r="I17" s="461">
        <v>2498</v>
      </c>
      <c r="J17" s="468">
        <f t="shared" si="7"/>
        <v>0.19875875238701465</v>
      </c>
      <c r="K17" s="461">
        <v>2100</v>
      </c>
      <c r="L17" s="471">
        <f t="shared" si="8"/>
        <v>0.16709102482495225</v>
      </c>
      <c r="M17" s="620">
        <v>1.45</v>
      </c>
      <c r="N17" s="254">
        <f t="shared" si="9"/>
        <v>7097837.3786489144</v>
      </c>
      <c r="O17" s="279">
        <f>E17*$M17^$B17</f>
        <v>6657281.9551465679</v>
      </c>
      <c r="P17" s="283">
        <f>G17*$M17^$B17</f>
        <v>5751695.8068361897</v>
      </c>
      <c r="Q17" s="279">
        <f>I17*$M17^$B17</f>
        <v>6113930.266160341</v>
      </c>
      <c r="R17" s="287">
        <f>K17*$M17^$B17</f>
        <v>5139813.2741940413</v>
      </c>
    </row>
    <row r="18" spans="1:18" ht="15.75" thickBot="1">
      <c r="A18" s="124" t="s">
        <v>365</v>
      </c>
      <c r="B18" s="467">
        <v>17</v>
      </c>
      <c r="C18" s="462">
        <v>1060</v>
      </c>
      <c r="D18" s="472">
        <f t="shared" si="4"/>
        <v>0.33865814696485624</v>
      </c>
      <c r="E18" s="463">
        <v>470</v>
      </c>
      <c r="F18" s="472">
        <f t="shared" si="5"/>
        <v>0.15015974440894569</v>
      </c>
      <c r="G18" s="464">
        <v>870</v>
      </c>
      <c r="H18" s="472">
        <f t="shared" si="6"/>
        <v>0.27795527156549521</v>
      </c>
      <c r="I18" s="464">
        <v>420</v>
      </c>
      <c r="J18" s="472">
        <f t="shared" si="7"/>
        <v>0.13418530351437699</v>
      </c>
      <c r="K18" s="464">
        <v>310</v>
      </c>
      <c r="L18" s="473">
        <f t="shared" si="8"/>
        <v>9.9041533546325874E-2</v>
      </c>
      <c r="M18" s="622">
        <v>1.8</v>
      </c>
      <c r="N18" s="255">
        <f t="shared" si="9"/>
        <v>23170662.5332302</v>
      </c>
      <c r="O18" s="280">
        <f>E18*$M18^$B18</f>
        <v>10273784.330771882</v>
      </c>
      <c r="P18" s="284">
        <f>G18*$M18^$B18</f>
        <v>19017430.569726676</v>
      </c>
      <c r="Q18" s="280">
        <f>I18*$M18^$B18</f>
        <v>9180828.5509025324</v>
      </c>
      <c r="R18" s="288">
        <f>K18*$M18^$B18</f>
        <v>6776325.8351899646</v>
      </c>
    </row>
    <row r="19" spans="1:18" ht="15.75" thickBot="1">
      <c r="A19" s="64"/>
      <c r="B19" s="474"/>
      <c r="C19" s="475"/>
      <c r="D19" s="476">
        <f>SUM(D14:D18)</f>
        <v>0.99492879727433436</v>
      </c>
      <c r="E19" s="477"/>
      <c r="F19" s="476">
        <f>SUM(F14:F18)</f>
        <v>0.75949148434782288</v>
      </c>
      <c r="G19" s="478"/>
      <c r="H19" s="476">
        <f>SUM(H14:H18)</f>
        <v>1.0833107951149632</v>
      </c>
      <c r="I19" s="478"/>
      <c r="J19" s="476">
        <f>SUM(J14:J18)</f>
        <v>1.054035278288123</v>
      </c>
      <c r="K19" s="478"/>
      <c r="L19" s="479">
        <f>SUM(L14:L18)</f>
        <v>1.1082336449747565</v>
      </c>
      <c r="M19" s="621"/>
      <c r="N19" s="480"/>
      <c r="O19" s="481"/>
      <c r="P19" s="482"/>
      <c r="Q19" s="481"/>
      <c r="R19" s="483"/>
    </row>
    <row r="20" spans="1:18">
      <c r="B20" s="165"/>
      <c r="C20" s="251"/>
      <c r="D20" s="251"/>
      <c r="E20" s="251"/>
      <c r="F20" s="251"/>
      <c r="G20" s="252"/>
      <c r="H20" s="252"/>
      <c r="I20" s="252"/>
      <c r="J20" s="252"/>
      <c r="K20" s="252"/>
      <c r="L20" s="252"/>
      <c r="M20" s="252"/>
      <c r="N20" s="160"/>
      <c r="O20" s="160"/>
      <c r="P20" s="160"/>
      <c r="Q20" s="162"/>
      <c r="R20" s="160"/>
    </row>
    <row r="21" spans="1:18">
      <c r="B21" s="165"/>
      <c r="C21" s="251"/>
      <c r="D21" s="251"/>
      <c r="E21" s="251"/>
      <c r="F21" s="251"/>
      <c r="G21" s="252"/>
      <c r="H21" s="252"/>
      <c r="I21" s="252"/>
      <c r="J21" s="252"/>
      <c r="K21" s="252"/>
      <c r="L21" s="252"/>
      <c r="M21" s="252"/>
      <c r="N21" s="160"/>
      <c r="O21" s="160"/>
      <c r="P21" s="160"/>
      <c r="Q21" s="160"/>
      <c r="R21" s="160"/>
    </row>
    <row r="22" spans="1:18">
      <c r="B22" s="165"/>
      <c r="C22" s="251"/>
      <c r="D22" s="251"/>
      <c r="E22" s="251"/>
      <c r="F22" s="251"/>
      <c r="G22" s="252"/>
      <c r="H22" s="252"/>
      <c r="I22" s="252"/>
      <c r="J22" s="252"/>
      <c r="K22" s="252"/>
      <c r="L22" s="252"/>
      <c r="M22" s="252"/>
      <c r="N22" s="160"/>
      <c r="O22" s="160"/>
      <c r="P22" s="160"/>
      <c r="Q22" s="160"/>
      <c r="R22" s="160"/>
    </row>
    <row r="23" spans="1:18">
      <c r="B23" s="165"/>
      <c r="C23" s="251"/>
      <c r="D23" s="251"/>
      <c r="E23" s="251"/>
      <c r="F23" s="251"/>
      <c r="G23" s="252"/>
      <c r="H23" s="252"/>
      <c r="I23" s="252"/>
      <c r="J23" s="252"/>
      <c r="K23" s="252"/>
      <c r="L23" s="252"/>
      <c r="M23" s="252"/>
      <c r="N23" s="160"/>
      <c r="O23" s="160"/>
      <c r="P23" s="160"/>
      <c r="Q23" s="160"/>
      <c r="R23" s="160"/>
    </row>
    <row r="24" spans="1:18">
      <c r="B24" s="165"/>
      <c r="C24" s="251"/>
      <c r="D24" s="251"/>
      <c r="E24" s="251"/>
      <c r="F24" s="251"/>
      <c r="G24" s="252"/>
      <c r="H24" s="252"/>
      <c r="I24" s="252"/>
      <c r="J24" s="252"/>
      <c r="K24" s="252"/>
      <c r="L24" s="252"/>
      <c r="M24" s="252"/>
      <c r="N24" s="160"/>
      <c r="O24" s="160"/>
      <c r="P24" s="160"/>
      <c r="Q24" s="160"/>
      <c r="R24" s="160"/>
    </row>
    <row r="25" spans="1:18">
      <c r="B25" s="165"/>
      <c r="C25" s="251"/>
      <c r="D25" s="251"/>
      <c r="E25" s="251"/>
      <c r="F25" s="251"/>
      <c r="G25" s="252"/>
      <c r="H25" s="252"/>
      <c r="I25" s="252"/>
      <c r="J25" s="252"/>
      <c r="K25" s="252"/>
      <c r="L25" s="252"/>
      <c r="M25" s="252"/>
      <c r="N25" s="160"/>
      <c r="O25" s="160"/>
      <c r="P25" s="160"/>
      <c r="Q25" s="160"/>
      <c r="R25" s="161"/>
    </row>
    <row r="26" spans="1:18">
      <c r="B26" s="165"/>
      <c r="C26" s="251"/>
      <c r="D26" s="251"/>
      <c r="E26" s="251"/>
      <c r="F26" s="251"/>
      <c r="G26" s="252"/>
      <c r="H26" s="252"/>
      <c r="I26" s="252"/>
      <c r="J26" s="252"/>
      <c r="K26" s="252"/>
      <c r="L26" s="252"/>
      <c r="M26" s="252"/>
      <c r="N26" s="160"/>
      <c r="O26" s="160"/>
      <c r="P26" s="160"/>
      <c r="Q26" s="160"/>
      <c r="R26" s="161"/>
    </row>
    <row r="27" spans="1:18">
      <c r="B27" s="165"/>
      <c r="C27" s="251"/>
      <c r="D27" s="251"/>
      <c r="E27" s="251"/>
      <c r="F27" s="251"/>
      <c r="G27" s="252"/>
      <c r="H27" s="252"/>
      <c r="I27" s="252"/>
      <c r="J27" s="252"/>
      <c r="K27" s="252"/>
      <c r="L27" s="252"/>
      <c r="M27" s="252"/>
      <c r="N27" s="160"/>
      <c r="O27" s="160"/>
      <c r="P27" s="160"/>
      <c r="Q27" s="160"/>
      <c r="R27" s="161"/>
    </row>
    <row r="28" spans="1:18">
      <c r="B28" s="165"/>
      <c r="C28" s="251"/>
      <c r="D28" s="251"/>
      <c r="E28" s="251"/>
      <c r="F28" s="251"/>
      <c r="G28" s="252"/>
      <c r="H28" s="252"/>
      <c r="I28" s="252"/>
      <c r="J28" s="252"/>
      <c r="K28" s="252"/>
      <c r="L28" s="252"/>
      <c r="M28" s="252"/>
      <c r="N28" s="161"/>
      <c r="O28" s="161"/>
      <c r="P28" s="161"/>
      <c r="Q28" s="160"/>
      <c r="R28" s="161"/>
    </row>
    <row r="29" spans="1:18">
      <c r="B29" s="165"/>
      <c r="C29" s="251"/>
      <c r="D29" s="251"/>
      <c r="E29" s="251"/>
      <c r="F29" s="251"/>
      <c r="G29" s="252"/>
      <c r="H29" s="252"/>
      <c r="I29" s="252"/>
      <c r="J29" s="252"/>
      <c r="K29" s="252"/>
      <c r="L29" s="252"/>
      <c r="M29" s="252"/>
      <c r="N29" s="161"/>
      <c r="O29" s="161"/>
      <c r="P29" s="161"/>
      <c r="Q29" s="160"/>
      <c r="R29" s="161"/>
    </row>
    <row r="30" spans="1:18">
      <c r="B30" s="165"/>
      <c r="C30" s="251"/>
      <c r="D30" s="251"/>
      <c r="E30" s="251"/>
      <c r="F30" s="251"/>
      <c r="G30" s="252"/>
      <c r="H30" s="252"/>
      <c r="I30" s="252"/>
      <c r="J30" s="252"/>
      <c r="K30" s="252"/>
      <c r="L30" s="252"/>
      <c r="M30" s="252"/>
      <c r="N30" s="161"/>
      <c r="O30" s="161"/>
      <c r="P30" s="161"/>
      <c r="Q30" s="161"/>
      <c r="R30" s="161"/>
    </row>
    <row r="31" spans="1:18">
      <c r="B31" s="165"/>
      <c r="C31" s="251"/>
      <c r="D31" s="251"/>
      <c r="E31" s="251"/>
      <c r="F31" s="251"/>
      <c r="G31" s="252"/>
      <c r="H31" s="252"/>
      <c r="I31" s="252"/>
      <c r="J31" s="252"/>
      <c r="K31" s="252"/>
      <c r="L31" s="252"/>
      <c r="M31" s="252"/>
      <c r="N31" s="161"/>
      <c r="O31" s="161"/>
      <c r="P31" s="161"/>
      <c r="Q31" s="161"/>
      <c r="R31" s="161"/>
    </row>
    <row r="32" spans="1:18">
      <c r="B32" s="165"/>
      <c r="C32" s="251"/>
      <c r="D32" s="251"/>
      <c r="E32" s="251"/>
      <c r="F32" s="251"/>
      <c r="G32" s="252"/>
      <c r="H32" s="252"/>
      <c r="I32" s="252"/>
      <c r="J32" s="252"/>
      <c r="K32" s="252"/>
      <c r="L32" s="252"/>
      <c r="M32" s="252"/>
      <c r="N32" s="161"/>
      <c r="O32" s="161"/>
      <c r="P32" s="161"/>
      <c r="Q32" s="161"/>
      <c r="R32" s="161"/>
    </row>
    <row r="33" spans="2:18">
      <c r="B33" s="165"/>
      <c r="C33" s="251"/>
      <c r="D33" s="251"/>
      <c r="E33" s="251"/>
      <c r="F33" s="251"/>
      <c r="G33" s="252"/>
      <c r="H33" s="252"/>
      <c r="I33" s="252"/>
      <c r="J33" s="252"/>
      <c r="K33" s="252"/>
      <c r="L33" s="252"/>
      <c r="M33" s="252"/>
      <c r="N33" s="161"/>
      <c r="O33" s="161"/>
      <c r="P33" s="161"/>
      <c r="Q33" s="161"/>
      <c r="R33" s="161"/>
    </row>
    <row r="34" spans="2:18">
      <c r="B34" s="165"/>
      <c r="C34" s="251"/>
      <c r="D34" s="251"/>
      <c r="E34" s="251"/>
      <c r="F34" s="251"/>
      <c r="G34" s="252"/>
      <c r="H34" s="252"/>
      <c r="I34" s="252"/>
      <c r="J34" s="252"/>
      <c r="K34" s="252"/>
      <c r="L34" s="252"/>
      <c r="M34" s="252"/>
      <c r="N34" s="161"/>
      <c r="O34" s="161"/>
      <c r="P34" s="161"/>
      <c r="Q34" s="161"/>
      <c r="R34" s="161"/>
    </row>
    <row r="35" spans="2:18">
      <c r="B35" s="165"/>
      <c r="C35" s="251"/>
      <c r="D35" s="251"/>
      <c r="E35" s="251"/>
      <c r="F35" s="251"/>
      <c r="G35" s="252"/>
      <c r="H35" s="252"/>
      <c r="I35" s="252"/>
      <c r="J35" s="252"/>
      <c r="K35" s="252"/>
      <c r="L35" s="252"/>
      <c r="M35" s="252"/>
      <c r="N35" s="161"/>
      <c r="O35" s="161"/>
      <c r="P35" s="161"/>
      <c r="Q35" s="161"/>
      <c r="R35" s="161"/>
    </row>
    <row r="36" spans="2:18">
      <c r="B36" s="165"/>
      <c r="C36" s="251"/>
      <c r="D36" s="251"/>
      <c r="E36" s="251"/>
      <c r="F36" s="251"/>
      <c r="G36" s="252"/>
      <c r="H36" s="252"/>
      <c r="I36" s="252"/>
      <c r="J36" s="252"/>
      <c r="K36" s="252"/>
      <c r="L36" s="252"/>
      <c r="M36" s="252"/>
      <c r="N36" s="161"/>
      <c r="O36" s="161"/>
      <c r="P36" s="161"/>
      <c r="Q36" s="161"/>
      <c r="R36" s="161"/>
    </row>
    <row r="37" spans="2:18">
      <c r="B37" s="165"/>
      <c r="C37" s="251"/>
      <c r="D37" s="251"/>
      <c r="E37" s="251"/>
      <c r="F37" s="251"/>
      <c r="G37" s="252"/>
      <c r="H37" s="252"/>
      <c r="I37" s="252"/>
      <c r="J37" s="252"/>
      <c r="K37" s="252"/>
      <c r="L37" s="252"/>
      <c r="M37" s="252"/>
      <c r="N37" s="161"/>
      <c r="O37" s="161"/>
      <c r="P37" s="161"/>
      <c r="Q37" s="161"/>
      <c r="R37" s="161"/>
    </row>
  </sheetData>
  <mergeCells count="8">
    <mergeCell ref="N5:R5"/>
    <mergeCell ref="M5:M6"/>
    <mergeCell ref="C5:L5"/>
    <mergeCell ref="C6:D6"/>
    <mergeCell ref="E6:F6"/>
    <mergeCell ref="G6:H6"/>
    <mergeCell ref="I6:J6"/>
    <mergeCell ref="K6:L6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I15" sqref="I15"/>
    </sheetView>
  </sheetViews>
  <sheetFormatPr baseColWidth="10" defaultRowHeight="15"/>
  <cols>
    <col min="1" max="1" width="17.85546875" customWidth="1"/>
    <col min="2" max="2" width="6.5703125" customWidth="1"/>
    <col min="3" max="3" width="2.140625" style="28" hidden="1" customWidth="1"/>
    <col min="4" max="4" width="2.28515625" style="28" hidden="1" customWidth="1"/>
    <col min="5" max="5" width="13.5703125" style="28" bestFit="1" customWidth="1"/>
    <col min="6" max="6" width="11.42578125" customWidth="1"/>
  </cols>
  <sheetData>
    <row r="1" spans="1:6">
      <c r="A1" s="1" t="s">
        <v>686</v>
      </c>
    </row>
    <row r="3" spans="1:6">
      <c r="A3" t="s">
        <v>488</v>
      </c>
      <c r="B3" s="241">
        <v>1</v>
      </c>
    </row>
    <row r="4" spans="1:6">
      <c r="A4" t="s">
        <v>478</v>
      </c>
      <c r="B4" s="241">
        <v>30</v>
      </c>
    </row>
    <row r="5" spans="1:6" ht="15.75" thickBot="1"/>
    <row r="6" spans="1:6" ht="15.75" thickBot="1">
      <c r="A6" s="64" t="s">
        <v>687</v>
      </c>
      <c r="B6" s="18" t="s">
        <v>59</v>
      </c>
      <c r="C6" s="236" t="s">
        <v>692</v>
      </c>
      <c r="D6" s="236" t="s">
        <v>693</v>
      </c>
      <c r="E6" s="236" t="s">
        <v>695</v>
      </c>
      <c r="F6" s="18" t="s">
        <v>694</v>
      </c>
    </row>
    <row r="7" spans="1:6">
      <c r="A7" s="117" t="s">
        <v>453</v>
      </c>
      <c r="B7" s="242">
        <v>11</v>
      </c>
      <c r="C7" s="88">
        <v>1200</v>
      </c>
      <c r="D7" s="88">
        <v>1.55</v>
      </c>
      <c r="E7" s="237">
        <f>C7*B7^D7/86400</f>
        <v>0.57124993750247832</v>
      </c>
      <c r="F7" s="245">
        <f t="shared" ref="F7:F17" si="0">E7*(1-($B$3*10+$B$4)/100)</f>
        <v>0.34274996250148698</v>
      </c>
    </row>
    <row r="8" spans="1:6">
      <c r="A8" s="24" t="s">
        <v>640</v>
      </c>
      <c r="B8" s="243">
        <v>14</v>
      </c>
      <c r="C8" s="238">
        <v>1000</v>
      </c>
      <c r="D8" s="238">
        <v>1.65</v>
      </c>
      <c r="E8" s="239">
        <f t="shared" ref="E8:E17" si="1">C8*B8^D8/86400</f>
        <v>0.90073599111268521</v>
      </c>
      <c r="F8" s="246">
        <f t="shared" si="0"/>
        <v>0.5404415946676111</v>
      </c>
    </row>
    <row r="9" spans="1:6">
      <c r="A9" s="24" t="s">
        <v>688</v>
      </c>
      <c r="B9" s="243">
        <v>1</v>
      </c>
      <c r="C9" s="238">
        <v>4000</v>
      </c>
      <c r="D9" s="238">
        <v>1</v>
      </c>
      <c r="E9" s="239">
        <f t="shared" si="1"/>
        <v>4.6296296296296294E-2</v>
      </c>
      <c r="F9" s="246">
        <f t="shared" si="0"/>
        <v>2.7777777777777776E-2</v>
      </c>
    </row>
    <row r="10" spans="1:6">
      <c r="A10" s="24" t="s">
        <v>689</v>
      </c>
      <c r="B10" s="243">
        <v>7</v>
      </c>
      <c r="C10" s="238">
        <v>2600</v>
      </c>
      <c r="D10" s="238">
        <v>1.1000000000000001</v>
      </c>
      <c r="E10" s="239">
        <f t="shared" si="1"/>
        <v>0.25589832872119239</v>
      </c>
      <c r="F10" s="246">
        <f t="shared" si="0"/>
        <v>0.15353899723271544</v>
      </c>
    </row>
    <row r="11" spans="1:6">
      <c r="A11" s="24" t="s">
        <v>361</v>
      </c>
      <c r="B11" s="243">
        <v>13</v>
      </c>
      <c r="C11" s="238">
        <v>4000</v>
      </c>
      <c r="D11" s="238">
        <v>1.2</v>
      </c>
      <c r="E11" s="239">
        <f t="shared" si="1"/>
        <v>1.0052596981644693</v>
      </c>
      <c r="F11" s="246">
        <f t="shared" si="0"/>
        <v>0.60315581889868153</v>
      </c>
    </row>
    <row r="12" spans="1:6">
      <c r="A12" s="24" t="s">
        <v>690</v>
      </c>
      <c r="B12" s="243">
        <v>1</v>
      </c>
      <c r="C12" s="238">
        <v>7000</v>
      </c>
      <c r="D12" s="238">
        <v>1.25</v>
      </c>
      <c r="E12" s="239">
        <f t="shared" si="1"/>
        <v>8.1018518518518517E-2</v>
      </c>
      <c r="F12" s="246">
        <f t="shared" si="0"/>
        <v>4.8611111111111112E-2</v>
      </c>
    </row>
    <row r="13" spans="1:6">
      <c r="A13" s="24" t="s">
        <v>366</v>
      </c>
      <c r="B13" s="243">
        <v>4</v>
      </c>
      <c r="C13" s="238">
        <v>7200</v>
      </c>
      <c r="D13" s="238">
        <v>1.1000000000000001</v>
      </c>
      <c r="E13" s="239">
        <f t="shared" si="1"/>
        <v>0.38289945166567829</v>
      </c>
      <c r="F13" s="246">
        <f t="shared" si="0"/>
        <v>0.22973967099940695</v>
      </c>
    </row>
    <row r="14" spans="1:6">
      <c r="A14" s="24" t="s">
        <v>691</v>
      </c>
      <c r="B14" s="243">
        <v>4</v>
      </c>
      <c r="C14" s="238">
        <v>4000</v>
      </c>
      <c r="D14" s="238">
        <v>1.2</v>
      </c>
      <c r="E14" s="239">
        <f t="shared" si="1"/>
        <v>0.24435331680979519</v>
      </c>
      <c r="F14" s="246">
        <f t="shared" si="0"/>
        <v>0.14661199008587711</v>
      </c>
    </row>
    <row r="15" spans="1:6">
      <c r="A15" s="24" t="s">
        <v>363</v>
      </c>
      <c r="B15" s="243">
        <v>11</v>
      </c>
      <c r="C15" s="238">
        <v>9000</v>
      </c>
      <c r="D15" s="238">
        <v>1.1000000000000001</v>
      </c>
      <c r="E15" s="239">
        <f t="shared" si="1"/>
        <v>1.4563331007616198</v>
      </c>
      <c r="F15" s="246">
        <f t="shared" si="0"/>
        <v>0.87379986045697189</v>
      </c>
    </row>
    <row r="16" spans="1:6">
      <c r="A16" s="24" t="s">
        <v>364</v>
      </c>
      <c r="B16" s="243">
        <v>8</v>
      </c>
      <c r="C16" s="238">
        <v>14400</v>
      </c>
      <c r="D16" s="238">
        <v>1.01</v>
      </c>
      <c r="E16" s="239">
        <f t="shared" si="1"/>
        <v>1.361349500942924</v>
      </c>
      <c r="F16" s="246">
        <f t="shared" si="0"/>
        <v>0.8168097005657543</v>
      </c>
    </row>
    <row r="17" spans="1:6" ht="15.75" thickBot="1">
      <c r="A17" s="124" t="s">
        <v>365</v>
      </c>
      <c r="B17" s="244">
        <v>7</v>
      </c>
      <c r="C17" s="89">
        <v>15000</v>
      </c>
      <c r="D17" s="89">
        <v>1.04</v>
      </c>
      <c r="E17" s="240">
        <f t="shared" si="1"/>
        <v>1.3136494193414701</v>
      </c>
      <c r="F17" s="247">
        <f t="shared" si="0"/>
        <v>0.78818965160488197</v>
      </c>
    </row>
    <row r="18" spans="1:6">
      <c r="F18" s="232"/>
    </row>
    <row r="19" spans="1:6">
      <c r="F19" s="232"/>
    </row>
    <row r="20" spans="1:6">
      <c r="F20" s="232"/>
    </row>
    <row r="21" spans="1:6">
      <c r="F21" s="232"/>
    </row>
    <row r="22" spans="1:6">
      <c r="E22" s="235" t="s">
        <v>703</v>
      </c>
      <c r="F22" s="249">
        <v>1.1069444444444445</v>
      </c>
    </row>
    <row r="23" spans="1:6">
      <c r="E23" s="235"/>
      <c r="F23" s="249">
        <v>0</v>
      </c>
    </row>
    <row r="24" spans="1:6">
      <c r="E24" s="235" t="s">
        <v>696</v>
      </c>
      <c r="F24" s="249">
        <v>0.60067129629629623</v>
      </c>
    </row>
    <row r="25" spans="1:6">
      <c r="E25" s="235" t="s">
        <v>697</v>
      </c>
      <c r="F25" s="249">
        <v>0.70186342592592599</v>
      </c>
    </row>
    <row r="26" spans="1:6">
      <c r="E26" s="235" t="s">
        <v>698</v>
      </c>
      <c r="F26" s="249">
        <v>0.80319444444444443</v>
      </c>
    </row>
    <row r="27" spans="1:6">
      <c r="E27" s="235"/>
      <c r="F27" s="249">
        <v>0</v>
      </c>
    </row>
    <row r="28" spans="1:6">
      <c r="E28" s="235" t="s">
        <v>746</v>
      </c>
      <c r="F28" s="249">
        <v>0.53878472222222229</v>
      </c>
    </row>
    <row r="29" spans="1:6">
      <c r="E29" s="235" t="s">
        <v>747</v>
      </c>
      <c r="F29" s="249">
        <v>0.59310185185185182</v>
      </c>
    </row>
    <row r="30" spans="1:6">
      <c r="E30" s="235"/>
      <c r="F30" s="249">
        <v>0</v>
      </c>
    </row>
    <row r="31" spans="1:6">
      <c r="E31" s="235"/>
      <c r="F31" s="249">
        <v>0</v>
      </c>
    </row>
    <row r="32" spans="1:6">
      <c r="E32" s="235"/>
      <c r="F32" s="249">
        <v>0</v>
      </c>
    </row>
    <row r="33" spans="5:7">
      <c r="E33" s="235"/>
      <c r="F33" s="249">
        <v>0</v>
      </c>
    </row>
    <row r="34" spans="5:7">
      <c r="E34" s="235"/>
      <c r="F34" s="249">
        <v>0</v>
      </c>
    </row>
    <row r="35" spans="5:7" ht="15.75" thickBot="1">
      <c r="E35" s="235"/>
      <c r="F35" s="249">
        <v>0</v>
      </c>
    </row>
    <row r="36" spans="5:7" ht="15.75" thickBot="1">
      <c r="E36" s="233" t="s">
        <v>639</v>
      </c>
      <c r="F36" s="248">
        <f>SUM(F22:F35)</f>
        <v>4.3445601851851849</v>
      </c>
      <c r="G36" s="234" t="s">
        <v>699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J15" sqref="J15"/>
    </sheetView>
  </sheetViews>
  <sheetFormatPr baseColWidth="10" defaultRowHeight="15"/>
  <cols>
    <col min="1" max="1" width="6" customWidth="1"/>
  </cols>
  <sheetData>
    <row r="1" spans="1:6">
      <c r="A1" s="1" t="s">
        <v>701</v>
      </c>
    </row>
    <row r="4" spans="1:6" ht="15.75" thickBot="1">
      <c r="A4" t="s">
        <v>702</v>
      </c>
    </row>
    <row r="5" spans="1:6" ht="15.75" thickBot="1">
      <c r="A5" s="117" t="s">
        <v>427</v>
      </c>
      <c r="B5" s="250" t="s">
        <v>30</v>
      </c>
      <c r="C5" s="260" t="s">
        <v>31</v>
      </c>
      <c r="D5" s="260" t="s">
        <v>32</v>
      </c>
      <c r="E5" s="271" t="s">
        <v>61</v>
      </c>
      <c r="F5" s="264" t="s">
        <v>62</v>
      </c>
    </row>
    <row r="6" spans="1:6">
      <c r="A6" s="275">
        <v>0</v>
      </c>
      <c r="B6" s="268">
        <v>2200</v>
      </c>
      <c r="C6" s="261">
        <v>1000</v>
      </c>
      <c r="D6" s="261">
        <v>1000</v>
      </c>
      <c r="E6" s="272">
        <v>1000</v>
      </c>
      <c r="F6" s="265">
        <v>72000</v>
      </c>
    </row>
    <row r="7" spans="1:6">
      <c r="A7" s="276">
        <v>1</v>
      </c>
      <c r="B7" s="269">
        <f>B6*1.15</f>
        <v>2530</v>
      </c>
      <c r="C7" s="262">
        <f>C6*1.3</f>
        <v>1300</v>
      </c>
      <c r="D7" s="262">
        <f>D6*1.25</f>
        <v>1250</v>
      </c>
      <c r="E7" s="273">
        <f>E6*1.25</f>
        <v>1250</v>
      </c>
      <c r="F7" s="266">
        <f>F6*1.2</f>
        <v>86400</v>
      </c>
    </row>
    <row r="8" spans="1:6">
      <c r="A8" s="276">
        <v>2</v>
      </c>
      <c r="B8" s="269">
        <f>B7*1.14</f>
        <v>2884.2</v>
      </c>
      <c r="C8" s="262">
        <f>C7*1.29</f>
        <v>1677</v>
      </c>
      <c r="D8" s="262">
        <f>D7*1.23</f>
        <v>1537.5</v>
      </c>
      <c r="E8" s="273">
        <f>E7*1.24</f>
        <v>1550</v>
      </c>
      <c r="F8" s="266">
        <f>F7*1.18</f>
        <v>101952</v>
      </c>
    </row>
    <row r="9" spans="1:6">
      <c r="A9" s="276">
        <v>3</v>
      </c>
      <c r="B9" s="269">
        <f>B8*1.13</f>
        <v>3259.1459999999993</v>
      </c>
      <c r="C9" s="262">
        <f>C8*1.28</f>
        <v>2146.56</v>
      </c>
      <c r="D9" s="262">
        <f>D8*1.21</f>
        <v>1860.375</v>
      </c>
      <c r="E9" s="273">
        <f>E8*1.23</f>
        <v>1906.5</v>
      </c>
      <c r="F9" s="266">
        <f>F8*1.16</f>
        <v>118264.31999999999</v>
      </c>
    </row>
    <row r="10" spans="1:6">
      <c r="A10" s="276">
        <v>4</v>
      </c>
      <c r="B10" s="269">
        <f>B9*1.12</f>
        <v>3650.2435199999995</v>
      </c>
      <c r="C10" s="262">
        <f>C9*1.27</f>
        <v>2726.1311999999998</v>
      </c>
      <c r="D10" s="262">
        <f>D9*1.19</f>
        <v>2213.8462500000001</v>
      </c>
      <c r="E10" s="273">
        <f>E9*1.22</f>
        <v>2325.9299999999998</v>
      </c>
      <c r="F10" s="266">
        <f>F9*1.14</f>
        <v>134821.32479999997</v>
      </c>
    </row>
    <row r="11" spans="1:6">
      <c r="A11" s="276">
        <v>5</v>
      </c>
      <c r="B11" s="269">
        <f>B10*1.11</f>
        <v>4051.7703071999999</v>
      </c>
      <c r="C11" s="262">
        <f>C10*1.26</f>
        <v>3434.9253119999998</v>
      </c>
      <c r="D11" s="262">
        <f>D10*1.17</f>
        <v>2590.2001124999997</v>
      </c>
      <c r="E11" s="273">
        <f>E10*1.21</f>
        <v>2814.3752999999997</v>
      </c>
      <c r="F11" s="266">
        <f>F10*1.12</f>
        <v>150999.88377599997</v>
      </c>
    </row>
    <row r="12" spans="1:6">
      <c r="A12" s="276">
        <v>6</v>
      </c>
      <c r="B12" s="269">
        <f>B11*1.1</f>
        <v>4456.9473379199999</v>
      </c>
      <c r="C12" s="262">
        <f>C11*1.25</f>
        <v>4293.6566400000002</v>
      </c>
      <c r="D12" s="262">
        <f>D11*1.15</f>
        <v>2978.7301293749993</v>
      </c>
      <c r="E12" s="273">
        <f>E11*1.2</f>
        <v>3377.2503599999995</v>
      </c>
      <c r="F12" s="266">
        <f>F11*1.1</f>
        <v>166099.87215359998</v>
      </c>
    </row>
    <row r="13" spans="1:6">
      <c r="A13" s="276">
        <v>7</v>
      </c>
      <c r="B13" s="269">
        <f>B12*1.09</f>
        <v>4858.0725983328002</v>
      </c>
      <c r="C13" s="262">
        <f>C12*1.24</f>
        <v>5324.1342335999998</v>
      </c>
      <c r="D13" s="262">
        <f>D12*1.13</f>
        <v>3365.965046193749</v>
      </c>
      <c r="E13" s="273">
        <f>E12*1.19</f>
        <v>4018.9279283999995</v>
      </c>
      <c r="F13" s="266">
        <f>F12*1.08</f>
        <v>179387.86192588799</v>
      </c>
    </row>
    <row r="14" spans="1:6">
      <c r="A14" s="276">
        <v>8</v>
      </c>
      <c r="B14" s="269">
        <f>B13*1.08</f>
        <v>5246.7184061994249</v>
      </c>
      <c r="C14" s="262">
        <f>C13*1.23</f>
        <v>6548.6851073279995</v>
      </c>
      <c r="D14" s="262">
        <f>D13*1.11</f>
        <v>3736.2212012750615</v>
      </c>
      <c r="E14" s="273">
        <f>E13*1.18</f>
        <v>4742.3349555119994</v>
      </c>
      <c r="F14" s="266">
        <f>F13*1.06</f>
        <v>190151.13364144129</v>
      </c>
    </row>
    <row r="15" spans="1:6">
      <c r="A15" s="276">
        <v>9</v>
      </c>
      <c r="B15" s="269">
        <f>B14*1.07</f>
        <v>5613.9886946333845</v>
      </c>
      <c r="C15" s="262">
        <f>C14*1.22</f>
        <v>7989.3958309401596</v>
      </c>
      <c r="D15" s="262">
        <f>D14*1.09</f>
        <v>4072.4811093898174</v>
      </c>
      <c r="E15" s="273">
        <f>E14*1.17</f>
        <v>5548.5318979490394</v>
      </c>
      <c r="F15" s="266">
        <f>F14*1.04</f>
        <v>197757.17898709895</v>
      </c>
    </row>
    <row r="16" spans="1:6" ht="15.75" thickBot="1">
      <c r="A16" s="277">
        <v>10</v>
      </c>
      <c r="B16" s="270">
        <f>B15*1.06</f>
        <v>5950.8280163113877</v>
      </c>
      <c r="C16" s="263">
        <f>C15*1.21</f>
        <v>9667.1689554375935</v>
      </c>
      <c r="D16" s="263">
        <f>D15*1.07</f>
        <v>4357.5547870471046</v>
      </c>
      <c r="E16" s="274">
        <f>E15*1.16</f>
        <v>6436.2970016208856</v>
      </c>
      <c r="F16" s="267">
        <f>F15*1.02</f>
        <v>201712.32256684091</v>
      </c>
    </row>
    <row r="20" spans="1:6" ht="15.75" thickBot="1">
      <c r="A20" t="s">
        <v>60</v>
      </c>
    </row>
    <row r="21" spans="1:6" ht="15.75" thickBot="1">
      <c r="A21" s="117" t="s">
        <v>427</v>
      </c>
      <c r="B21" s="250" t="s">
        <v>30</v>
      </c>
      <c r="C21" s="260" t="s">
        <v>31</v>
      </c>
      <c r="D21" s="260" t="s">
        <v>32</v>
      </c>
      <c r="E21" s="271" t="s">
        <v>61</v>
      </c>
      <c r="F21" s="264" t="s">
        <v>62</v>
      </c>
    </row>
    <row r="22" spans="1:6">
      <c r="A22" s="275">
        <v>0</v>
      </c>
      <c r="B22" s="268">
        <v>1000</v>
      </c>
      <c r="C22" s="261">
        <v>1000</v>
      </c>
      <c r="D22" s="261">
        <v>1000</v>
      </c>
      <c r="E22" s="272">
        <v>1000</v>
      </c>
      <c r="F22" s="265">
        <v>1000</v>
      </c>
    </row>
    <row r="23" spans="1:6">
      <c r="A23" s="276">
        <v>1</v>
      </c>
      <c r="B23" s="269">
        <f>B22*1.3</f>
        <v>1300</v>
      </c>
      <c r="C23" s="262">
        <f>C22*1.6</f>
        <v>1600</v>
      </c>
      <c r="D23" s="262">
        <f>D22*1.5</f>
        <v>1500</v>
      </c>
      <c r="E23" s="273">
        <f>E22*1.5</f>
        <v>1500</v>
      </c>
      <c r="F23" s="266">
        <f>F22*1.4</f>
        <v>1400</v>
      </c>
    </row>
    <row r="24" spans="1:6">
      <c r="A24" s="276">
        <v>2</v>
      </c>
      <c r="B24" s="269">
        <f>B23*1.25</f>
        <v>1625</v>
      </c>
      <c r="C24" s="262">
        <f>C23*1.51</f>
        <v>2416</v>
      </c>
      <c r="D24" s="262">
        <f>D23*1.45</f>
        <v>2175</v>
      </c>
      <c r="E24" s="273">
        <f>E23*1.49</f>
        <v>2235</v>
      </c>
      <c r="F24" s="266">
        <f>F23*1.35</f>
        <v>1890.0000000000002</v>
      </c>
    </row>
    <row r="25" spans="1:6">
      <c r="A25" s="276">
        <v>3</v>
      </c>
      <c r="B25" s="269">
        <f>B24*1.2</f>
        <v>1950</v>
      </c>
      <c r="C25" s="262">
        <f>C24*1.42</f>
        <v>3430.72</v>
      </c>
      <c r="D25" s="262">
        <f>D24*1.4</f>
        <v>3045</v>
      </c>
      <c r="E25" s="273">
        <f>E24*1.48</f>
        <v>3307.8</v>
      </c>
      <c r="F25" s="266">
        <f>F24*1.3</f>
        <v>2457.0000000000005</v>
      </c>
    </row>
    <row r="26" spans="1:6">
      <c r="A26" s="276">
        <v>4</v>
      </c>
      <c r="B26" s="269">
        <f>B25*1.15</f>
        <v>2242.5</v>
      </c>
      <c r="C26" s="262">
        <f>C25*1.33</f>
        <v>4562.8576000000003</v>
      </c>
      <c r="D26" s="262">
        <f>D25*1.35</f>
        <v>4110.75</v>
      </c>
      <c r="E26" s="273">
        <f>E25*1.47</f>
        <v>4862.4660000000003</v>
      </c>
      <c r="F26" s="266">
        <f>F25*1.25</f>
        <v>3071.2500000000005</v>
      </c>
    </row>
    <row r="27" spans="1:6">
      <c r="A27" s="276">
        <v>5</v>
      </c>
      <c r="B27" s="269">
        <f>B26*1.1</f>
        <v>2466.75</v>
      </c>
      <c r="C27" s="262">
        <f>C26*1.24</f>
        <v>5657.9434240000001</v>
      </c>
      <c r="D27" s="262">
        <f>D26*1.3</f>
        <v>5343.9750000000004</v>
      </c>
      <c r="E27" s="273">
        <f>E26*1.46</f>
        <v>7099.2003600000007</v>
      </c>
      <c r="F27" s="266">
        <f>F26*1.2</f>
        <v>3685.5000000000005</v>
      </c>
    </row>
    <row r="28" spans="1:6">
      <c r="A28" s="276">
        <v>6</v>
      </c>
      <c r="B28" s="269">
        <f>B27*1.05</f>
        <v>2590.0875000000001</v>
      </c>
      <c r="C28" s="262">
        <f>C27*1.15</f>
        <v>6506.6349375999998</v>
      </c>
      <c r="D28" s="262">
        <f>D27*1.25</f>
        <v>6679.96875</v>
      </c>
      <c r="E28" s="273">
        <f>E27*1.45</f>
        <v>10293.840522</v>
      </c>
      <c r="F28" s="266">
        <f>F27*1.15</f>
        <v>4238.3249999999998</v>
      </c>
    </row>
    <row r="29" spans="1:6">
      <c r="A29" s="276">
        <v>7</v>
      </c>
      <c r="B29" s="269">
        <f>B28*1</f>
        <v>2590.0875000000001</v>
      </c>
      <c r="C29" s="262">
        <f>C28*1.06</f>
        <v>6897.0330338559997</v>
      </c>
      <c r="D29" s="262">
        <f>D28*1.2</f>
        <v>8015.9624999999996</v>
      </c>
      <c r="E29" s="273">
        <f>E28*1.44</f>
        <v>14823.13035168</v>
      </c>
      <c r="F29" s="266">
        <f>F28*1.1</f>
        <v>4662.1575000000003</v>
      </c>
    </row>
    <row r="30" spans="1:6">
      <c r="A30" s="276">
        <v>8</v>
      </c>
      <c r="B30" s="269">
        <f>B29*1</f>
        <v>2590.0875000000001</v>
      </c>
      <c r="C30" s="262">
        <f>C29*1</f>
        <v>6897.0330338559997</v>
      </c>
      <c r="D30" s="262">
        <f>D29*1.15</f>
        <v>9218.3568749999995</v>
      </c>
      <c r="E30" s="273">
        <f>E29*1.43</f>
        <v>21197.076402902399</v>
      </c>
      <c r="F30" s="266">
        <f>F29*1.05</f>
        <v>4895.2653750000009</v>
      </c>
    </row>
    <row r="31" spans="1:6">
      <c r="A31" s="276">
        <v>9</v>
      </c>
      <c r="B31" s="269">
        <f>B30*1</f>
        <v>2590.0875000000001</v>
      </c>
      <c r="C31" s="262">
        <f>C30*1</f>
        <v>6897.0330338559997</v>
      </c>
      <c r="D31" s="262">
        <f>D30*1.1</f>
        <v>10140.1925625</v>
      </c>
      <c r="E31" s="273">
        <f>E30*1.42</f>
        <v>30099.848492121404</v>
      </c>
      <c r="F31" s="266">
        <f>F30*1</f>
        <v>4895.2653750000009</v>
      </c>
    </row>
    <row r="32" spans="1:6" ht="15.75" thickBot="1">
      <c r="A32" s="277">
        <v>10</v>
      </c>
      <c r="B32" s="270">
        <f>B31*1</f>
        <v>2590.0875000000001</v>
      </c>
      <c r="C32" s="263">
        <f>C31*1</f>
        <v>6897.0330338559997</v>
      </c>
      <c r="D32" s="263">
        <f>D31*1.05</f>
        <v>10647.202190625001</v>
      </c>
      <c r="E32" s="274">
        <f>E31*1.41</f>
        <v>42440.786373891176</v>
      </c>
      <c r="F32" s="267">
        <f>F31*1</f>
        <v>4895.2653750000009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CS102"/>
  <sheetViews>
    <sheetView workbookViewId="0">
      <pane xSplit="7" topLeftCell="H1" activePane="topRight" state="frozen"/>
      <selection pane="topRight" activeCell="G5" sqref="G5"/>
    </sheetView>
  </sheetViews>
  <sheetFormatPr baseColWidth="10" defaultRowHeight="15"/>
  <cols>
    <col min="1" max="1" width="17" customWidth="1"/>
    <col min="2" max="3" width="11.42578125" hidden="1" customWidth="1"/>
    <col min="5" max="5" width="9.85546875" customWidth="1"/>
    <col min="6" max="6" width="10.7109375" customWidth="1"/>
    <col min="7" max="7" width="9.42578125" customWidth="1"/>
    <col min="8" max="97" width="5.7109375" style="338" customWidth="1"/>
  </cols>
  <sheetData>
    <row r="2" spans="1:97" ht="21">
      <c r="A2" s="139" t="s">
        <v>752</v>
      </c>
      <c r="B2" s="139"/>
      <c r="C2" s="139"/>
    </row>
    <row r="3" spans="1:97" ht="15.75" thickBot="1"/>
    <row r="4" spans="1:97" ht="15.75" thickBot="1">
      <c r="A4" t="s">
        <v>751</v>
      </c>
      <c r="D4" s="12" t="s">
        <v>30</v>
      </c>
      <c r="E4" s="328">
        <v>1500000</v>
      </c>
      <c r="F4" s="12" t="s">
        <v>375</v>
      </c>
      <c r="G4" s="328">
        <v>100</v>
      </c>
    </row>
    <row r="5" spans="1:97" ht="15.75" thickBot="1">
      <c r="A5" t="s">
        <v>750</v>
      </c>
      <c r="D5" s="12" t="s">
        <v>31</v>
      </c>
      <c r="E5" s="329">
        <v>17000</v>
      </c>
      <c r="F5" s="12" t="s">
        <v>362</v>
      </c>
      <c r="G5" s="329">
        <v>250</v>
      </c>
    </row>
    <row r="7" spans="1:97">
      <c r="A7" s="591" t="s">
        <v>762</v>
      </c>
      <c r="B7" s="108"/>
      <c r="C7" s="108"/>
      <c r="D7" s="330" t="s">
        <v>753</v>
      </c>
      <c r="E7" s="331">
        <f>((60*E4^1.2)/(E5+2200)+E4/20+5)/G8*0.8</f>
        <v>124457.94728453037</v>
      </c>
    </row>
    <row r="8" spans="1:97" ht="45">
      <c r="A8" s="592"/>
      <c r="B8" s="25"/>
      <c r="C8" s="25"/>
      <c r="D8" s="332" t="s">
        <v>748</v>
      </c>
      <c r="E8" s="333">
        <f>((60*E4^1.2)/(E5+2200)+E4/20+5)/G8</f>
        <v>155572.43410566295</v>
      </c>
      <c r="F8" s="336" t="s">
        <v>749</v>
      </c>
      <c r="G8" s="337">
        <f>ROUNDUP(G4/G5,0)</f>
        <v>1</v>
      </c>
    </row>
    <row r="9" spans="1:97">
      <c r="A9" s="593"/>
      <c r="B9" s="27"/>
      <c r="C9" s="27"/>
      <c r="D9" s="334" t="s">
        <v>754</v>
      </c>
      <c r="E9" s="335">
        <f>((60*E4^1.2)/(E5+2200)+E4/20+5)/G8*1.2</f>
        <v>186686.92092679554</v>
      </c>
    </row>
    <row r="10" spans="1:97">
      <c r="A10" s="594" t="s">
        <v>763</v>
      </c>
      <c r="B10" s="108"/>
      <c r="C10" s="108"/>
      <c r="D10" s="330" t="s">
        <v>755</v>
      </c>
      <c r="E10" s="331">
        <f>((60*E4^1.2)/(E5+2200)+E4/20+5)/G8*1.3</f>
        <v>202244.16433736184</v>
      </c>
    </row>
    <row r="11" spans="1:97">
      <c r="A11" s="595"/>
      <c r="B11" s="27"/>
      <c r="C11" s="27"/>
      <c r="D11" s="334" t="s">
        <v>756</v>
      </c>
      <c r="E11" s="335">
        <f>((60*E4^1.2)/(E5+2200)+E4/20+5)/G8*1.7</f>
        <v>264473.137979627</v>
      </c>
    </row>
    <row r="13" spans="1:97" s="108" customFormat="1"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364"/>
      <c r="AI13" s="364"/>
      <c r="AJ13" s="364"/>
      <c r="AK13" s="364"/>
      <c r="AL13" s="364"/>
      <c r="AM13" s="364"/>
      <c r="AN13" s="364"/>
      <c r="AO13" s="364"/>
      <c r="AP13" s="364"/>
      <c r="AQ13" s="364"/>
      <c r="AR13" s="364"/>
      <c r="AS13" s="364"/>
      <c r="AT13" s="364"/>
      <c r="AU13" s="364"/>
      <c r="AV13" s="364"/>
      <c r="AW13" s="364"/>
      <c r="AX13" s="364"/>
      <c r="AY13" s="364"/>
      <c r="AZ13" s="364"/>
      <c r="BA13" s="364"/>
      <c r="BB13" s="364"/>
      <c r="BC13" s="364"/>
      <c r="BD13" s="364"/>
      <c r="BE13" s="364"/>
      <c r="BF13" s="364"/>
      <c r="BG13" s="364"/>
      <c r="BH13" s="364"/>
      <c r="BI13" s="364"/>
      <c r="BJ13" s="364"/>
      <c r="BK13" s="364"/>
      <c r="BL13" s="364"/>
      <c r="BM13" s="364"/>
      <c r="BN13" s="364"/>
      <c r="BO13" s="364"/>
      <c r="BP13" s="364"/>
      <c r="BQ13" s="364"/>
      <c r="BR13" s="364"/>
      <c r="BS13" s="364"/>
      <c r="BT13" s="364"/>
      <c r="BU13" s="364"/>
      <c r="BV13" s="364"/>
      <c r="BW13" s="364"/>
      <c r="BX13" s="364"/>
      <c r="BY13" s="364"/>
      <c r="BZ13" s="364"/>
      <c r="CA13" s="364"/>
      <c r="CB13" s="364"/>
      <c r="CC13" s="364"/>
      <c r="CD13" s="364"/>
      <c r="CE13" s="364"/>
      <c r="CF13" s="364"/>
      <c r="CG13" s="364"/>
      <c r="CH13" s="364"/>
      <c r="CI13" s="364"/>
      <c r="CJ13" s="364"/>
      <c r="CK13" s="364"/>
      <c r="CL13" s="364"/>
      <c r="CM13" s="364"/>
      <c r="CN13" s="364"/>
      <c r="CO13" s="364"/>
      <c r="CP13" s="364"/>
      <c r="CQ13" s="364"/>
      <c r="CR13" s="364"/>
      <c r="CS13" s="364"/>
    </row>
    <row r="15" spans="1:97" ht="21">
      <c r="A15" s="139" t="s">
        <v>775</v>
      </c>
    </row>
    <row r="16" spans="1:97" ht="15.75" thickBot="1"/>
    <row r="17" spans="4:97" ht="15.75" thickBot="1">
      <c r="F17" s="12" t="s">
        <v>30</v>
      </c>
      <c r="G17" s="329">
        <v>1400</v>
      </c>
    </row>
    <row r="18" spans="4:97" ht="15.75" thickBot="1">
      <c r="F18" s="12" t="s">
        <v>375</v>
      </c>
      <c r="G18" s="329">
        <v>1</v>
      </c>
    </row>
    <row r="19" spans="4:97" ht="15" customHeight="1">
      <c r="E19" s="570" t="s">
        <v>779</v>
      </c>
      <c r="F19" s="597"/>
      <c r="G19" s="571">
        <v>0</v>
      </c>
    </row>
    <row r="20" spans="4:97">
      <c r="E20" s="570"/>
      <c r="F20" s="597"/>
      <c r="G20" s="572"/>
    </row>
    <row r="21" spans="4:97" ht="15.75" thickBot="1">
      <c r="E21" s="570"/>
      <c r="F21" s="597"/>
      <c r="G21" s="573"/>
    </row>
    <row r="22" spans="4:97" ht="15" customHeight="1">
      <c r="E22" s="570" t="s">
        <v>777</v>
      </c>
      <c r="F22" s="570"/>
      <c r="G22" s="571">
        <v>1</v>
      </c>
    </row>
    <row r="23" spans="4:97">
      <c r="E23" s="570"/>
      <c r="F23" s="570"/>
      <c r="G23" s="572"/>
    </row>
    <row r="24" spans="4:97" ht="15.75" thickBot="1">
      <c r="E24" s="570"/>
      <c r="F24" s="570"/>
      <c r="G24" s="573"/>
    </row>
    <row r="25" spans="4:97" ht="15" customHeight="1">
      <c r="E25" s="570" t="s">
        <v>778</v>
      </c>
      <c r="F25" s="570"/>
      <c r="G25" s="571">
        <v>1</v>
      </c>
    </row>
    <row r="26" spans="4:97">
      <c r="E26" s="570"/>
      <c r="F26" s="570"/>
      <c r="G26" s="572"/>
    </row>
    <row r="27" spans="4:97" ht="15.75" thickBot="1">
      <c r="E27" s="570"/>
      <c r="F27" s="570"/>
      <c r="G27" s="573"/>
    </row>
    <row r="28" spans="4:97" hidden="1">
      <c r="D28" s="566" t="s">
        <v>780</v>
      </c>
      <c r="H28" s="582" t="s">
        <v>33</v>
      </c>
      <c r="I28" s="583"/>
      <c r="J28" s="582" t="s">
        <v>37</v>
      </c>
      <c r="K28" s="583"/>
      <c r="L28" s="582" t="s">
        <v>35</v>
      </c>
      <c r="M28" s="583"/>
      <c r="N28" s="582" t="s">
        <v>36</v>
      </c>
      <c r="O28" s="583"/>
      <c r="P28" s="582" t="s">
        <v>393</v>
      </c>
      <c r="Q28" s="583"/>
      <c r="R28" s="582" t="s">
        <v>38</v>
      </c>
      <c r="S28" s="583"/>
      <c r="T28" s="582" t="s">
        <v>560</v>
      </c>
      <c r="U28" s="583"/>
      <c r="V28" s="582" t="s">
        <v>394</v>
      </c>
      <c r="W28" s="583"/>
      <c r="X28" s="582" t="s">
        <v>764</v>
      </c>
      <c r="Y28" s="583"/>
      <c r="Z28" s="582" t="s">
        <v>39</v>
      </c>
      <c r="AA28" s="583"/>
      <c r="AB28" s="582" t="s">
        <v>765</v>
      </c>
      <c r="AC28" s="583"/>
      <c r="AD28" s="582" t="s">
        <v>766</v>
      </c>
      <c r="AE28" s="583"/>
      <c r="AF28" s="582" t="s">
        <v>40</v>
      </c>
      <c r="AG28" s="583"/>
      <c r="AH28" s="582" t="s">
        <v>555</v>
      </c>
      <c r="AI28" s="583"/>
      <c r="AJ28" s="582" t="s">
        <v>41</v>
      </c>
      <c r="AK28" s="583"/>
      <c r="AL28" s="582" t="s">
        <v>42</v>
      </c>
      <c r="AM28" s="583"/>
      <c r="AN28" s="582" t="s">
        <v>578</v>
      </c>
      <c r="AO28" s="583"/>
      <c r="AP28" s="582" t="s">
        <v>43</v>
      </c>
      <c r="AQ28" s="583"/>
      <c r="AR28" s="582" t="s">
        <v>554</v>
      </c>
      <c r="AS28" s="583"/>
      <c r="AT28" s="582" t="s">
        <v>44</v>
      </c>
      <c r="AU28" s="583"/>
      <c r="AV28" s="582" t="s">
        <v>769</v>
      </c>
      <c r="AW28" s="583"/>
      <c r="AX28" s="582" t="s">
        <v>770</v>
      </c>
      <c r="AY28" s="583"/>
      <c r="AZ28" s="582" t="s">
        <v>771</v>
      </c>
      <c r="BA28" s="583"/>
      <c r="BB28" s="582" t="s">
        <v>772</v>
      </c>
      <c r="BC28" s="583"/>
      <c r="BD28" s="582" t="s">
        <v>45</v>
      </c>
      <c r="BE28" s="583"/>
      <c r="BF28" s="582" t="s">
        <v>767</v>
      </c>
      <c r="BG28" s="583"/>
      <c r="BH28" s="582" t="s">
        <v>46</v>
      </c>
      <c r="BI28" s="583"/>
      <c r="BJ28" s="582" t="s">
        <v>47</v>
      </c>
      <c r="BK28" s="583"/>
      <c r="BL28" s="582" t="s">
        <v>48</v>
      </c>
      <c r="BM28" s="583"/>
      <c r="BN28" s="582" t="s">
        <v>558</v>
      </c>
      <c r="BO28" s="583"/>
      <c r="BP28" s="582" t="s">
        <v>583</v>
      </c>
      <c r="BQ28" s="583"/>
      <c r="BR28" s="582" t="s">
        <v>51</v>
      </c>
      <c r="BS28" s="583"/>
      <c r="BT28" s="582" t="s">
        <v>556</v>
      </c>
      <c r="BU28" s="583"/>
      <c r="BV28" s="582" t="s">
        <v>49</v>
      </c>
      <c r="BW28" s="583"/>
      <c r="BX28" s="582" t="s">
        <v>553</v>
      </c>
      <c r="BY28" s="583"/>
      <c r="BZ28" s="582" t="s">
        <v>57</v>
      </c>
      <c r="CA28" s="583"/>
      <c r="CB28" s="582" t="s">
        <v>50</v>
      </c>
      <c r="CC28" s="583"/>
      <c r="CD28" s="582" t="s">
        <v>606</v>
      </c>
      <c r="CE28" s="583"/>
      <c r="CF28" s="582" t="s">
        <v>607</v>
      </c>
      <c r="CG28" s="583"/>
      <c r="CH28" s="582" t="s">
        <v>52</v>
      </c>
      <c r="CI28" s="583"/>
      <c r="CJ28" s="582" t="s">
        <v>53</v>
      </c>
      <c r="CK28" s="583"/>
      <c r="CL28" s="582" t="s">
        <v>54</v>
      </c>
      <c r="CM28" s="583"/>
      <c r="CN28" s="582" t="s">
        <v>55</v>
      </c>
      <c r="CO28" s="583"/>
      <c r="CP28" s="582" t="s">
        <v>616</v>
      </c>
      <c r="CQ28" s="583"/>
      <c r="CR28" s="582" t="s">
        <v>617</v>
      </c>
      <c r="CS28" s="583"/>
    </row>
    <row r="29" spans="4:97" hidden="1">
      <c r="D29" s="598"/>
      <c r="E29" s="581" t="s">
        <v>776</v>
      </c>
      <c r="F29" s="581"/>
      <c r="G29" s="581"/>
      <c r="H29" s="580">
        <f>ROUNDUP($G$18/H$81,0)</f>
        <v>1</v>
      </c>
      <c r="I29" s="580"/>
      <c r="J29" s="580">
        <f>ROUNDUP($G$18/J$81,0)</f>
        <v>1</v>
      </c>
      <c r="K29" s="580"/>
      <c r="L29" s="580">
        <f>ROUNDUP($G$18/L$81,0)</f>
        <v>1</v>
      </c>
      <c r="M29" s="580"/>
      <c r="N29" s="580">
        <f>ROUNDUP($G$18/N$81,0)</f>
        <v>1</v>
      </c>
      <c r="O29" s="580"/>
      <c r="P29" s="580">
        <f>ROUNDUP($G$18/P$81,0)</f>
        <v>1</v>
      </c>
      <c r="Q29" s="580"/>
      <c r="R29" s="580">
        <f>ROUNDUP($G$18/R$81,0)</f>
        <v>1</v>
      </c>
      <c r="S29" s="580"/>
      <c r="T29" s="580">
        <f>ROUNDUP($G$18/T$81,0)</f>
        <v>1</v>
      </c>
      <c r="U29" s="580"/>
      <c r="V29" s="580">
        <f>ROUNDUP($G$18/V$81,0)</f>
        <v>1</v>
      </c>
      <c r="W29" s="580"/>
      <c r="X29" s="580">
        <f>ROUNDUP($G$18/X$81,0)</f>
        <v>1</v>
      </c>
      <c r="Y29" s="580"/>
      <c r="Z29" s="580">
        <f>ROUNDUP($G$18/Z$81,0)</f>
        <v>1</v>
      </c>
      <c r="AA29" s="580"/>
      <c r="AB29" s="580">
        <f>ROUNDUP($G$18/AB$81,0)</f>
        <v>1</v>
      </c>
      <c r="AC29" s="580"/>
      <c r="AD29" s="580">
        <f>ROUNDUP($G$18/AD$81,0)</f>
        <v>1</v>
      </c>
      <c r="AE29" s="580"/>
      <c r="AF29" s="580">
        <f>ROUNDUP($G$18/AF$81,0)</f>
        <v>1</v>
      </c>
      <c r="AG29" s="580"/>
      <c r="AH29" s="580">
        <f>ROUNDUP($G$18/AH$81,0)</f>
        <v>1</v>
      </c>
      <c r="AI29" s="580"/>
      <c r="AJ29" s="580">
        <f>ROUNDUP($G$18/AJ$81,0)</f>
        <v>1</v>
      </c>
      <c r="AK29" s="580"/>
      <c r="AL29" s="580">
        <f>ROUNDUP($G$18/AL$81,0)</f>
        <v>1</v>
      </c>
      <c r="AM29" s="580"/>
      <c r="AN29" s="580">
        <f>ROUNDUP($G$18/AN$81,0)</f>
        <v>1</v>
      </c>
      <c r="AO29" s="580"/>
      <c r="AP29" s="580">
        <f>ROUNDUP($G$18/AP$81,0)</f>
        <v>1</v>
      </c>
      <c r="AQ29" s="580"/>
      <c r="AR29" s="580">
        <f>ROUNDUP($G$18/AR$81,0)</f>
        <v>1</v>
      </c>
      <c r="AS29" s="580"/>
      <c r="AT29" s="580">
        <f>ROUNDUP($G$18/AT$81,0)</f>
        <v>1</v>
      </c>
      <c r="AU29" s="580"/>
      <c r="AV29" s="580">
        <f>ROUNDUP($G$18/AV$81,0)</f>
        <v>1</v>
      </c>
      <c r="AW29" s="580"/>
      <c r="AX29" s="580">
        <f>ROUNDUP($G$18/AX$81,0)</f>
        <v>1</v>
      </c>
      <c r="AY29" s="580"/>
      <c r="AZ29" s="580">
        <f>ROUNDUP($G$18/AZ$81,0)</f>
        <v>1</v>
      </c>
      <c r="BA29" s="580"/>
      <c r="BB29" s="580">
        <f>ROUNDUP($G$18/BB$81,0)</f>
        <v>1</v>
      </c>
      <c r="BC29" s="580"/>
      <c r="BD29" s="580">
        <f>ROUNDUP($G$18/BD$81,0)</f>
        <v>1</v>
      </c>
      <c r="BE29" s="580"/>
      <c r="BF29" s="580">
        <f>ROUNDUP($G$18/BF$81,0)</f>
        <v>1</v>
      </c>
      <c r="BG29" s="580"/>
      <c r="BH29" s="580">
        <f>ROUNDUP($G$18/BH$81,0)</f>
        <v>1</v>
      </c>
      <c r="BI29" s="580"/>
      <c r="BJ29" s="580">
        <f>ROUNDUP($G$18/BJ$81,0)</f>
        <v>1</v>
      </c>
      <c r="BK29" s="580"/>
      <c r="BL29" s="580">
        <f>ROUNDUP($G$18/BL$81,0)</f>
        <v>1</v>
      </c>
      <c r="BM29" s="580"/>
      <c r="BN29" s="580">
        <f>ROUNDUP($G$18/BN$81,0)</f>
        <v>1</v>
      </c>
      <c r="BO29" s="580"/>
      <c r="BP29" s="580">
        <f>ROUNDUP($G$18/BP$81,0)</f>
        <v>1</v>
      </c>
      <c r="BQ29" s="580"/>
      <c r="BR29" s="580">
        <f>ROUNDUP($G$18/BR$81,0)</f>
        <v>1</v>
      </c>
      <c r="BS29" s="580"/>
      <c r="BT29" s="580">
        <f>ROUNDUP($G$18/BT$81,0)</f>
        <v>1</v>
      </c>
      <c r="BU29" s="580"/>
      <c r="BV29" s="580">
        <f>ROUNDUP($G$18/BV$81,0)</f>
        <v>1</v>
      </c>
      <c r="BW29" s="580"/>
      <c r="BX29" s="580">
        <f>ROUNDUP($G$18/BX$81,0)</f>
        <v>1</v>
      </c>
      <c r="BY29" s="580"/>
      <c r="BZ29" s="580">
        <f>ROUNDUP($G$18/BZ$81,0)</f>
        <v>1</v>
      </c>
      <c r="CA29" s="580"/>
      <c r="CB29" s="580">
        <f>ROUNDUP($G$18/CB$81,0)</f>
        <v>1</v>
      </c>
      <c r="CC29" s="580"/>
      <c r="CD29" s="580">
        <f>ROUNDUP($G$18/CD$81,0)</f>
        <v>1</v>
      </c>
      <c r="CE29" s="580"/>
      <c r="CF29" s="580">
        <f>ROUNDUP($G$18/CF$81,0)</f>
        <v>1</v>
      </c>
      <c r="CG29" s="580"/>
      <c r="CH29" s="580">
        <f>ROUNDUP($G$18/CH$81,0)</f>
        <v>1</v>
      </c>
      <c r="CI29" s="580"/>
      <c r="CJ29" s="580">
        <f>ROUNDUP($G$18/CJ$81,0)</f>
        <v>1</v>
      </c>
      <c r="CK29" s="580"/>
      <c r="CL29" s="580">
        <f>ROUNDUP($G$18/CL$81,0)</f>
        <v>1</v>
      </c>
      <c r="CM29" s="580"/>
      <c r="CN29" s="580">
        <f>ROUNDUP($G$18/CN$81,0)</f>
        <v>1</v>
      </c>
      <c r="CO29" s="580"/>
      <c r="CP29" s="580">
        <f>ROUNDUP($G$18/CP$81,0)</f>
        <v>1</v>
      </c>
      <c r="CQ29" s="580"/>
      <c r="CR29" s="580">
        <f>ROUNDUP($G$18/CR$81,0)</f>
        <v>1</v>
      </c>
      <c r="CS29" s="580"/>
    </row>
    <row r="30" spans="4:97" hidden="1">
      <c r="D30" s="598"/>
      <c r="G30" t="s">
        <v>753</v>
      </c>
      <c r="H30" s="580">
        <f>(((60*$G$17^1.2)/(H$79+2200)+$G$17/20+5)/H$29*0.8)</f>
        <v>189.1876950358967</v>
      </c>
      <c r="I30" s="580"/>
      <c r="J30" s="580">
        <f>(((60*$G$17^1.2)/(J$79+2200)+$G$17/20+5)/J$29*0.8)</f>
        <v>189.1876950358967</v>
      </c>
      <c r="K30" s="580"/>
      <c r="L30" s="580">
        <f>(((60*$G$17^1.2)/(L$79+2200)+$G$17/20+5)/L$29*0.8)</f>
        <v>188.8967317587888</v>
      </c>
      <c r="M30" s="580"/>
      <c r="N30" s="580">
        <f>(((60*$G$17^1.2)/(N$79+2200)+$G$17/20+5)/N$29*0.8)</f>
        <v>187.74586808237106</v>
      </c>
      <c r="O30" s="580"/>
      <c r="P30" s="580">
        <f>(((60*$G$17^1.2)/(P$79+2200)+$G$17/20+5)/P$29*0.8)</f>
        <v>185.50471250197859</v>
      </c>
      <c r="Q30" s="580"/>
      <c r="R30" s="580">
        <f>(((60*$G$17^1.2)/(R$79+2200)+$G$17/20+5)/R$29*0.8)</f>
        <v>184.14349002364909</v>
      </c>
      <c r="S30" s="580"/>
      <c r="T30" s="580">
        <f>(((60*$G$17^1.2)/(T$79+2200)+$G$17/20+5)/T$29*0.8)</f>
        <v>188.8967317587888</v>
      </c>
      <c r="U30" s="580"/>
      <c r="V30" s="580">
        <f>(((60*$G$17^1.2)/(V$79+2200)+$G$17/20+5)/V$29*0.8)</f>
        <v>178.73474875705858</v>
      </c>
      <c r="W30" s="580"/>
      <c r="X30" s="580">
        <f>(((60*$G$17^1.2)/(X$79+2200)+$G$17/20+5)/X$29*0.8)</f>
        <v>186.05759669802254</v>
      </c>
      <c r="Y30" s="580"/>
      <c r="Z30" s="580">
        <f>(((60*$G$17^1.2)/(Z$79+2200)+$G$17/20+5)/Z$29*0.8)</f>
        <v>174.46029780180447</v>
      </c>
      <c r="AA30" s="580"/>
      <c r="AB30" s="580">
        <f>(((60*$G$17^1.2)/(AB$79+2200)+$G$17/20+5)/AB$29*0.8)</f>
        <v>128.13112964393122</v>
      </c>
      <c r="AC30" s="580"/>
      <c r="AD30" s="580">
        <f>(((60*$G$17^1.2)/(AD$79+2200)+$G$17/20+5)/AD$29*0.8)</f>
        <v>173.32702752653907</v>
      </c>
      <c r="AE30" s="580"/>
      <c r="AF30" s="580">
        <f>(((60*$G$17^1.2)/(AF$79+2200)+$G$17/20+5)/AF$29*0.8)</f>
        <v>152.30669177564874</v>
      </c>
      <c r="AG30" s="580"/>
      <c r="AH30" s="580">
        <f>(((60*$G$17^1.2)/(AH$79+2200)+$G$17/20+5)/AH$29*0.8)</f>
        <v>184.41336717587441</v>
      </c>
      <c r="AI30" s="580"/>
      <c r="AJ30" s="580">
        <f>(((60*$G$17^1.2)/(AJ$79+2200)+$G$17/20+5)/AJ$29*0.8)</f>
        <v>162.19669446589683</v>
      </c>
      <c r="AK30" s="580"/>
      <c r="AL30" s="580">
        <f>(((60*$G$17^1.2)/(AL$79+2200)+$G$17/20+5)/AL$29*0.8)</f>
        <v>144.16198367779739</v>
      </c>
      <c r="AM30" s="580"/>
      <c r="AN30" s="580">
        <f>(((60*$G$17^1.2)/(AN$79+2200)+$G$17/20+5)/AN$29*0.8)</f>
        <v>141.75735557271747</v>
      </c>
      <c r="AO30" s="580"/>
      <c r="AP30" s="580">
        <f>(((60*$G$17^1.2)/(AP$79+2200)+$G$17/20+5)/AP$29*0.8)</f>
        <v>159.35789739739971</v>
      </c>
      <c r="AQ30" s="580"/>
      <c r="AR30" s="580">
        <f>(((60*$G$17^1.2)/(AR$79+2200)+$G$17/20+5)/AR$29*0.8)</f>
        <v>155.38358150150373</v>
      </c>
      <c r="AS30" s="580"/>
      <c r="AT30" s="580">
        <f>(((60*$G$17^1.2)/(AT$79+2200)+$G$17/20+5)/AT$29*0.8)</f>
        <v>149.98451085047517</v>
      </c>
      <c r="AU30" s="580"/>
      <c r="AV30" s="580">
        <f>(((60*$G$17^1.2)/(AV$79+2200)+$G$17/20+5)/AV$29*0.8)</f>
        <v>170.05797865558122</v>
      </c>
      <c r="AW30" s="580"/>
      <c r="AX30" s="580">
        <f>(((60*$G$17^1.2)/(AX$79+2200)+$G$17/20+5)/AX$29*0.8)</f>
        <v>170.05797865558122</v>
      </c>
      <c r="AY30" s="580"/>
      <c r="AZ30" s="580">
        <f>(((60*$G$17^1.2)/(AZ$79+2200)+$G$17/20+5)/AZ$29*0.8)</f>
        <v>170.05797865558122</v>
      </c>
      <c r="BA30" s="580"/>
      <c r="BB30" s="580">
        <f>(((60*$G$17^1.2)/(BB$79+2200)+$G$17/20+5)/BB$29*0.8)</f>
        <v>170.05797865558122</v>
      </c>
      <c r="BC30" s="580"/>
      <c r="BD30" s="580">
        <f>(((60*$G$17^1.2)/(BD$79+2200)+$G$17/20+5)/BD$29*0.8)</f>
        <v>137.3380390552733</v>
      </c>
      <c r="BE30" s="580"/>
      <c r="BF30" s="580">
        <f>(((60*$G$17^1.2)/(BF$79+2200)+$G$17/20+5)/BF$29*0.8)</f>
        <v>149.42210765765972</v>
      </c>
      <c r="BG30" s="580"/>
      <c r="BH30" s="580">
        <f>(((60*$G$17^1.2)/(BH$79+2200)+$G$17/20+5)/BH$29*0.8)</f>
        <v>110.20188500079144</v>
      </c>
      <c r="BI30" s="580"/>
      <c r="BJ30" s="580">
        <f>(((60*$G$17^1.2)/(BJ$79+2200)+$G$17/20+5)/BJ$29*0.8)</f>
        <v>115.02898932779061</v>
      </c>
      <c r="BK30" s="580"/>
      <c r="BL30" s="580">
        <f>(((60*$G$17^1.2)/(BL$79+2200)+$G$17/20+5)/BL$29*0.8)</f>
        <v>133.37198577038748</v>
      </c>
      <c r="BM30" s="580"/>
      <c r="BN30" s="580">
        <f>(((60*$G$17^1.2)/(BN$79+2200)+$G$17/20+5)/BN$29*0.8)</f>
        <v>137.3380390552733</v>
      </c>
      <c r="BO30" s="580"/>
      <c r="BP30" s="580">
        <f>(((60*$G$17^1.2)/(BP$79+2200)+$G$17/20+5)/BP$29*0.8)</f>
        <v>152.30669177564874</v>
      </c>
      <c r="BQ30" s="580"/>
      <c r="BR30" s="580">
        <f>(((60*$G$17^1.2)/(BR$79+2200)+$G$17/20+5)/BR$29*0.8)</f>
        <v>98.66901952763665</v>
      </c>
      <c r="BS30" s="580"/>
      <c r="BT30" s="580">
        <f>(((60*$G$17^1.2)/(BT$79+2200)+$G$17/20+5)/BT$29*0.8)</f>
        <v>115.02898932779061</v>
      </c>
      <c r="BU30" s="580"/>
      <c r="BV30" s="580">
        <f>(((60*$G$17^1.2)/(BV$79+2200)+$G$17/20+5)/BV$29*0.8)</f>
        <v>102.70906634395688</v>
      </c>
      <c r="BW30" s="580"/>
      <c r="BX30" s="580">
        <f>(((60*$G$17^1.2)/(BX$79+2200)+$G$17/20+5)/BX$29*0.8)</f>
        <v>96.685992885193741</v>
      </c>
      <c r="BY30" s="580"/>
      <c r="BZ30" s="580">
        <f>(((60*$G$17^1.2)/(BZ$79+2200)+$G$17/20+5)/BZ$29*0.8)</f>
        <v>137.3380390552733</v>
      </c>
      <c r="CA30" s="580"/>
      <c r="CB30" s="580">
        <f>(((60*$G$17^1.2)/(CB$79+2200)+$G$17/20+5)/CB$29*0.8)</f>
        <v>90.441568564309705</v>
      </c>
      <c r="CC30" s="580"/>
      <c r="CD30" s="580">
        <f>(((60*$G$17^1.2)/(CD$79+2200)+$G$17/20+5)/CD$29*0.8)</f>
        <v>83.454979057746812</v>
      </c>
      <c r="CE30" s="580"/>
      <c r="CF30" s="580">
        <f>(((60*$G$17^1.2)/(CF$79+2200)+$G$17/20+5)/CF$29*0.8)</f>
        <v>155.38358150150373</v>
      </c>
      <c r="CG30" s="580"/>
      <c r="CH30" s="580">
        <f>(((60*$G$17^1.2)/(CH$79+2200)+$G$17/20+5)/CH$29*0.8)</f>
        <v>148.31813101991085</v>
      </c>
      <c r="CI30" s="580"/>
      <c r="CJ30" s="580">
        <f>(((60*$G$17^1.2)/(CJ$79+2200)+$G$17/20+5)/CJ$29*0.8)</f>
        <v>155.70259013528801</v>
      </c>
      <c r="CK30" s="580"/>
      <c r="CL30" s="580">
        <f>(((60*$G$17^1.2)/(CL$79+2200)+$G$17/20+5)/CL$29*0.8)</f>
        <v>150.84150619190831</v>
      </c>
      <c r="CM30" s="580"/>
      <c r="CN30" s="580">
        <f>(((60*$G$17^1.2)/(CN$79+2200)+$G$17/20+5)/CN$29*0.8)</f>
        <v>77.663626203982176</v>
      </c>
      <c r="CO30" s="580"/>
      <c r="CP30" s="580">
        <f>(((60*$G$17^1.2)/(CP$79+2200)+$G$17/20+5)/CP$29*0.8)</f>
        <v>185.50471250197859</v>
      </c>
      <c r="CQ30" s="580"/>
      <c r="CR30" s="580">
        <f>(((60*$G$17^1.2)/(CR$79+2200)+$G$17/20+5)/CR$29*0.8)</f>
        <v>62.799909437421832</v>
      </c>
      <c r="CS30" s="580"/>
    </row>
    <row r="31" spans="4:97" hidden="1">
      <c r="D31" s="598"/>
      <c r="G31" t="s">
        <v>754</v>
      </c>
      <c r="H31" s="580">
        <f>(((60*$G$17^1.2)/(H$79+2200)+$G$17/20+5)/H$29*1.2)</f>
        <v>283.78154255384499</v>
      </c>
      <c r="I31" s="580"/>
      <c r="J31" s="580">
        <f>(((60*$G$17^1.2)/(J$79+2200)+$G$17/20+5)/J$29*1.2)</f>
        <v>283.78154255384499</v>
      </c>
      <c r="K31" s="580"/>
      <c r="L31" s="580">
        <f>(((60*$G$17^1.2)/(L$79+2200)+$G$17/20+5)/L$29*1.2)</f>
        <v>283.34509763818318</v>
      </c>
      <c r="M31" s="580"/>
      <c r="N31" s="580">
        <f>(((60*$G$17^1.2)/(N$79+2200)+$G$17/20+5)/N$29*1.2)</f>
        <v>281.61880212355658</v>
      </c>
      <c r="O31" s="580"/>
      <c r="P31" s="580">
        <f>(((60*$G$17^1.2)/(P$79+2200)+$G$17/20+5)/P$29*1.2)</f>
        <v>278.25706875296783</v>
      </c>
      <c r="Q31" s="580"/>
      <c r="R31" s="580">
        <f>(((60*$G$17^1.2)/(R$79+2200)+$G$17/20+5)/R$29*1.2)</f>
        <v>276.2152350354736</v>
      </c>
      <c r="S31" s="580"/>
      <c r="T31" s="580">
        <f>(((60*$G$17^1.2)/(T$79+2200)+$G$17/20+5)/T$29*1.2)</f>
        <v>283.34509763818318</v>
      </c>
      <c r="U31" s="580"/>
      <c r="V31" s="580">
        <f>(((60*$G$17^1.2)/(V$79+2200)+$G$17/20+5)/V$29*1.2)</f>
        <v>268.10212313558782</v>
      </c>
      <c r="W31" s="580"/>
      <c r="X31" s="580">
        <f>(((60*$G$17^1.2)/(X$79+2200)+$G$17/20+5)/X$29*1.2)</f>
        <v>279.08639504703376</v>
      </c>
      <c r="Y31" s="580"/>
      <c r="Z31" s="580">
        <f>(((60*$G$17^1.2)/(Z$79+2200)+$G$17/20+5)/Z$29*1.2)</f>
        <v>261.69044670270665</v>
      </c>
      <c r="AA31" s="580"/>
      <c r="AB31" s="580">
        <f>(((60*$G$17^1.2)/(AB$79+2200)+$G$17/20+5)/AB$29*1.2)</f>
        <v>192.19669446589683</v>
      </c>
      <c r="AC31" s="580"/>
      <c r="AD31" s="580">
        <f>(((60*$G$17^1.2)/(AD$79+2200)+$G$17/20+5)/AD$29*1.2)</f>
        <v>259.99054128980856</v>
      </c>
      <c r="AE31" s="580"/>
      <c r="AF31" s="580">
        <f>(((60*$G$17^1.2)/(AF$79+2200)+$G$17/20+5)/AF$29*1.2)</f>
        <v>228.46003766347309</v>
      </c>
      <c r="AG31" s="580"/>
      <c r="AH31" s="580">
        <f>(((60*$G$17^1.2)/(AH$79+2200)+$G$17/20+5)/AH$29*1.2)</f>
        <v>276.62005076381161</v>
      </c>
      <c r="AI31" s="580"/>
      <c r="AJ31" s="580">
        <f>(((60*$G$17^1.2)/(AJ$79+2200)+$G$17/20+5)/AJ$29*1.2)</f>
        <v>243.29504169884524</v>
      </c>
      <c r="AK31" s="580"/>
      <c r="AL31" s="580">
        <f>(((60*$G$17^1.2)/(AL$79+2200)+$G$17/20+5)/AL$29*1.2)</f>
        <v>216.24297551669608</v>
      </c>
      <c r="AM31" s="580"/>
      <c r="AN31" s="580">
        <f>(((60*$G$17^1.2)/(AN$79+2200)+$G$17/20+5)/AN$29*1.2)</f>
        <v>212.63603335907618</v>
      </c>
      <c r="AO31" s="580"/>
      <c r="AP31" s="580">
        <f>(((60*$G$17^1.2)/(AP$79+2200)+$G$17/20+5)/AP$29*1.2)</f>
        <v>239.03684609609957</v>
      </c>
      <c r="AQ31" s="580"/>
      <c r="AR31" s="580">
        <f>(((60*$G$17^1.2)/(AR$79+2200)+$G$17/20+5)/AR$29*1.2)</f>
        <v>233.07537225225553</v>
      </c>
      <c r="AS31" s="580"/>
      <c r="AT31" s="580">
        <f>(((60*$G$17^1.2)/(AT$79+2200)+$G$17/20+5)/AT$29*1.2)</f>
        <v>224.97676627571278</v>
      </c>
      <c r="AU31" s="580"/>
      <c r="AV31" s="580">
        <f>(((60*$G$17^1.2)/(AV$79+2200)+$G$17/20+5)/AV$29*1.2)</f>
        <v>255.08696798337178</v>
      </c>
      <c r="AW31" s="580"/>
      <c r="AX31" s="580">
        <f>(((60*$G$17^1.2)/(AX$79+2200)+$G$17/20+5)/AX$29*1.2)</f>
        <v>255.08696798337178</v>
      </c>
      <c r="AY31" s="580"/>
      <c r="AZ31" s="580">
        <f>(((60*$G$17^1.2)/(AZ$79+2200)+$G$17/20+5)/AZ$29*1.2)</f>
        <v>255.08696798337178</v>
      </c>
      <c r="BA31" s="580"/>
      <c r="BB31" s="580">
        <f>(((60*$G$17^1.2)/(BB$79+2200)+$G$17/20+5)/BB$29*1.2)</f>
        <v>255.08696798337178</v>
      </c>
      <c r="BC31" s="580"/>
      <c r="BD31" s="580">
        <f>(((60*$G$17^1.2)/(BD$79+2200)+$G$17/20+5)/BD$29*1.2)</f>
        <v>206.00705858290993</v>
      </c>
      <c r="BE31" s="580"/>
      <c r="BF31" s="580">
        <f>(((60*$G$17^1.2)/(BF$79+2200)+$G$17/20+5)/BF$29*1.2)</f>
        <v>224.13316148648957</v>
      </c>
      <c r="BG31" s="580"/>
      <c r="BH31" s="580">
        <f>(((60*$G$17^1.2)/(BH$79+2200)+$G$17/20+5)/BH$29*1.2)</f>
        <v>165.30282750118715</v>
      </c>
      <c r="BI31" s="580"/>
      <c r="BJ31" s="580">
        <f>(((60*$G$17^1.2)/(BJ$79+2200)+$G$17/20+5)/BJ$29*1.2)</f>
        <v>172.54348399168589</v>
      </c>
      <c r="BK31" s="580"/>
      <c r="BL31" s="580">
        <f>(((60*$G$17^1.2)/(BL$79+2200)+$G$17/20+5)/BL$29*1.2)</f>
        <v>200.05797865558122</v>
      </c>
      <c r="BM31" s="580"/>
      <c r="BN31" s="580">
        <f>(((60*$G$17^1.2)/(BN$79+2200)+$G$17/20+5)/BN$29*1.2)</f>
        <v>206.00705858290993</v>
      </c>
      <c r="BO31" s="580"/>
      <c r="BP31" s="580">
        <f>(((60*$G$17^1.2)/(BP$79+2200)+$G$17/20+5)/BP$29*1.2)</f>
        <v>228.46003766347309</v>
      </c>
      <c r="BQ31" s="580"/>
      <c r="BR31" s="580">
        <f>(((60*$G$17^1.2)/(BR$79+2200)+$G$17/20+5)/BR$29*1.2)</f>
        <v>148.00352929145495</v>
      </c>
      <c r="BS31" s="580"/>
      <c r="BT31" s="580">
        <f>(((60*$G$17^1.2)/(BT$79+2200)+$G$17/20+5)/BT$29*1.2)</f>
        <v>172.54348399168589</v>
      </c>
      <c r="BU31" s="580"/>
      <c r="BV31" s="580">
        <f>(((60*$G$17^1.2)/(BV$79+2200)+$G$17/20+5)/BV$29*1.2)</f>
        <v>154.06359951593529</v>
      </c>
      <c r="BW31" s="580"/>
      <c r="BX31" s="580">
        <f>(((60*$G$17^1.2)/(BX$79+2200)+$G$17/20+5)/BX$29*1.2)</f>
        <v>145.02898932779061</v>
      </c>
      <c r="BY31" s="580"/>
      <c r="BZ31" s="580">
        <f>(((60*$G$17^1.2)/(BZ$79+2200)+$G$17/20+5)/BZ$29*1.2)</f>
        <v>206.00705858290993</v>
      </c>
      <c r="CA31" s="580"/>
      <c r="CB31" s="580">
        <f>(((60*$G$17^1.2)/(CB$79+2200)+$G$17/20+5)/CB$29*1.2)</f>
        <v>135.66235284646453</v>
      </c>
      <c r="CC31" s="580"/>
      <c r="CD31" s="580">
        <f>(((60*$G$17^1.2)/(CD$79+2200)+$G$17/20+5)/CD$29*1.2)</f>
        <v>125.18246858662022</v>
      </c>
      <c r="CE31" s="580"/>
      <c r="CF31" s="580">
        <f>(((60*$G$17^1.2)/(CF$79+2200)+$G$17/20+5)/CF$29*1.2)</f>
        <v>233.07537225225553</v>
      </c>
      <c r="CG31" s="580"/>
      <c r="CH31" s="580">
        <f>(((60*$G$17^1.2)/(CH$79+2200)+$G$17/20+5)/CH$29*1.2)</f>
        <v>222.47719652986623</v>
      </c>
      <c r="CI31" s="580"/>
      <c r="CJ31" s="580">
        <f>(((60*$G$17^1.2)/(CJ$79+2200)+$G$17/20+5)/CJ$29*1.2)</f>
        <v>233.55388520293201</v>
      </c>
      <c r="CK31" s="580"/>
      <c r="CL31" s="580">
        <f>(((60*$G$17^1.2)/(CL$79+2200)+$G$17/20+5)/CL$29*1.2)</f>
        <v>226.26225928786243</v>
      </c>
      <c r="CM31" s="580"/>
      <c r="CN31" s="580">
        <f>(((60*$G$17^1.2)/(CN$79+2200)+$G$17/20+5)/CN$29*1.2)</f>
        <v>116.49543930597324</v>
      </c>
      <c r="CO31" s="580"/>
      <c r="CP31" s="580">
        <f>(((60*$G$17^1.2)/(CP$79+2200)+$G$17/20+5)/CP$29*1.2)</f>
        <v>278.25706875296783</v>
      </c>
      <c r="CQ31" s="580"/>
      <c r="CR31" s="580">
        <f>(((60*$G$17^1.2)/(CR$79+2200)+$G$17/20+5)/CR$29*1.2)</f>
        <v>94.199864156132747</v>
      </c>
      <c r="CS31" s="580"/>
    </row>
    <row r="32" spans="4:97" hidden="1">
      <c r="D32" s="598"/>
      <c r="G32" t="s">
        <v>755</v>
      </c>
      <c r="H32" s="580">
        <f>(((60*$G$17^1.2)/(H$79+2200)+$G$17/20+5)/H$29*1.3)</f>
        <v>307.4300044333321</v>
      </c>
      <c r="I32" s="580"/>
      <c r="J32" s="580">
        <f>(((60*$G$17^1.2)/(J$79+2200)+$G$17/20+5)/J$29*1.3)</f>
        <v>307.4300044333321</v>
      </c>
      <c r="K32" s="580"/>
      <c r="L32" s="580">
        <f>(((60*$G$17^1.2)/(L$79+2200)+$G$17/20+5)/L$29*1.3)</f>
        <v>306.9571891080318</v>
      </c>
      <c r="M32" s="580"/>
      <c r="N32" s="580">
        <f>(((60*$G$17^1.2)/(N$79+2200)+$G$17/20+5)/N$29*1.3)</f>
        <v>305.08703563385296</v>
      </c>
      <c r="O32" s="580"/>
      <c r="P32" s="580">
        <f>(((60*$G$17^1.2)/(P$79+2200)+$G$17/20+5)/P$29*1.3)</f>
        <v>301.44515781571516</v>
      </c>
      <c r="Q32" s="580"/>
      <c r="R32" s="580">
        <f>(((60*$G$17^1.2)/(R$79+2200)+$G$17/20+5)/R$29*1.3)</f>
        <v>299.23317128842979</v>
      </c>
      <c r="S32" s="580"/>
      <c r="T32" s="580">
        <f>(((60*$G$17^1.2)/(T$79+2200)+$G$17/20+5)/T$29*1.3)</f>
        <v>306.9571891080318</v>
      </c>
      <c r="U32" s="580"/>
      <c r="V32" s="580">
        <f>(((60*$G$17^1.2)/(V$79+2200)+$G$17/20+5)/V$29*1.3)</f>
        <v>290.44396673022015</v>
      </c>
      <c r="W32" s="580"/>
      <c r="X32" s="580">
        <f>(((60*$G$17^1.2)/(X$79+2200)+$G$17/20+5)/X$29*1.3)</f>
        <v>302.3435946342866</v>
      </c>
      <c r="Y32" s="580"/>
      <c r="Z32" s="580">
        <f>(((60*$G$17^1.2)/(Z$79+2200)+$G$17/20+5)/Z$29*1.3)</f>
        <v>283.49798392793224</v>
      </c>
      <c r="AA32" s="580"/>
      <c r="AB32" s="580">
        <f>(((60*$G$17^1.2)/(AB$79+2200)+$G$17/20+5)/AB$29*1.3)</f>
        <v>208.21308567138823</v>
      </c>
      <c r="AC32" s="580"/>
      <c r="AD32" s="580">
        <f>(((60*$G$17^1.2)/(AD$79+2200)+$G$17/20+5)/AD$29*1.3)</f>
        <v>281.656419730626</v>
      </c>
      <c r="AE32" s="580"/>
      <c r="AF32" s="580">
        <f>(((60*$G$17^1.2)/(AF$79+2200)+$G$17/20+5)/AF$29*1.3)</f>
        <v>247.4983741354292</v>
      </c>
      <c r="AG32" s="580"/>
      <c r="AH32" s="580">
        <f>(((60*$G$17^1.2)/(AH$79+2200)+$G$17/20+5)/AH$29*1.3)</f>
        <v>299.67172166079592</v>
      </c>
      <c r="AI32" s="580"/>
      <c r="AJ32" s="580">
        <f>(((60*$G$17^1.2)/(AJ$79+2200)+$G$17/20+5)/AJ$29*1.3)</f>
        <v>263.56962850708237</v>
      </c>
      <c r="AK32" s="580"/>
      <c r="AL32" s="580">
        <f>(((60*$G$17^1.2)/(AL$79+2200)+$G$17/20+5)/AL$29*1.3)</f>
        <v>234.26322347642076</v>
      </c>
      <c r="AM32" s="580"/>
      <c r="AN32" s="580">
        <f>(((60*$G$17^1.2)/(AN$79+2200)+$G$17/20+5)/AN$29*1.3)</f>
        <v>230.35570280566589</v>
      </c>
      <c r="AO32" s="580"/>
      <c r="AP32" s="580">
        <f>(((60*$G$17^1.2)/(AP$79+2200)+$G$17/20+5)/AP$29*1.3)</f>
        <v>258.95658327077456</v>
      </c>
      <c r="AQ32" s="580"/>
      <c r="AR32" s="580">
        <f>(((60*$G$17^1.2)/(AR$79+2200)+$G$17/20+5)/AR$29*1.3)</f>
        <v>252.49831993994354</v>
      </c>
      <c r="AS32" s="580"/>
      <c r="AT32" s="580">
        <f>(((60*$G$17^1.2)/(AT$79+2200)+$G$17/20+5)/AT$29*1.3)</f>
        <v>243.72483013202216</v>
      </c>
      <c r="AU32" s="580"/>
      <c r="AV32" s="580">
        <f>(((60*$G$17^1.2)/(AV$79+2200)+$G$17/20+5)/AV$29*1.3)</f>
        <v>276.34421531531945</v>
      </c>
      <c r="AW32" s="580"/>
      <c r="AX32" s="580">
        <f>(((60*$G$17^1.2)/(AX$79+2200)+$G$17/20+5)/AX$29*1.3)</f>
        <v>276.34421531531945</v>
      </c>
      <c r="AY32" s="580"/>
      <c r="AZ32" s="580">
        <f>(((60*$G$17^1.2)/(AZ$79+2200)+$G$17/20+5)/AZ$29*1.3)</f>
        <v>276.34421531531945</v>
      </c>
      <c r="BA32" s="580"/>
      <c r="BB32" s="580">
        <f>(((60*$G$17^1.2)/(BB$79+2200)+$G$17/20+5)/BB$29*1.3)</f>
        <v>276.34421531531945</v>
      </c>
      <c r="BC32" s="580"/>
      <c r="BD32" s="580">
        <f>(((60*$G$17^1.2)/(BD$79+2200)+$G$17/20+5)/BD$29*1.3)</f>
        <v>223.17431346481911</v>
      </c>
      <c r="BE32" s="580"/>
      <c r="BF32" s="580">
        <f>(((60*$G$17^1.2)/(BF$79+2200)+$G$17/20+5)/BF$29*1.3)</f>
        <v>242.81092494369705</v>
      </c>
      <c r="BG32" s="580"/>
      <c r="BH32" s="580">
        <f>(((60*$G$17^1.2)/(BH$79+2200)+$G$17/20+5)/BH$29*1.3)</f>
        <v>179.07806312628608</v>
      </c>
      <c r="BI32" s="580"/>
      <c r="BJ32" s="580">
        <f>(((60*$G$17^1.2)/(BJ$79+2200)+$G$17/20+5)/BJ$29*1.3)</f>
        <v>186.92210765765972</v>
      </c>
      <c r="BK32" s="580"/>
      <c r="BL32" s="580">
        <f>(((60*$G$17^1.2)/(BL$79+2200)+$G$17/20+5)/BL$29*1.3)</f>
        <v>216.72947687687966</v>
      </c>
      <c r="BM32" s="580"/>
      <c r="BN32" s="580">
        <f>(((60*$G$17^1.2)/(BN$79+2200)+$G$17/20+5)/BN$29*1.3)</f>
        <v>223.17431346481911</v>
      </c>
      <c r="BO32" s="580"/>
      <c r="BP32" s="580">
        <f>(((60*$G$17^1.2)/(BP$79+2200)+$G$17/20+5)/BP$29*1.3)</f>
        <v>247.4983741354292</v>
      </c>
      <c r="BQ32" s="580"/>
      <c r="BR32" s="580">
        <f>(((60*$G$17^1.2)/(BR$79+2200)+$G$17/20+5)/BR$29*1.3)</f>
        <v>160.33715673240957</v>
      </c>
      <c r="BS32" s="580"/>
      <c r="BT32" s="580">
        <f>(((60*$G$17^1.2)/(BT$79+2200)+$G$17/20+5)/BT$29*1.3)</f>
        <v>186.92210765765972</v>
      </c>
      <c r="BU32" s="580"/>
      <c r="BV32" s="580">
        <f>(((60*$G$17^1.2)/(BV$79+2200)+$G$17/20+5)/BV$29*1.3)</f>
        <v>166.90223280892994</v>
      </c>
      <c r="BW32" s="580"/>
      <c r="BX32" s="580">
        <f>(((60*$G$17^1.2)/(BX$79+2200)+$G$17/20+5)/BX$29*1.3)</f>
        <v>157.11473843843984</v>
      </c>
      <c r="BY32" s="580"/>
      <c r="BZ32" s="580">
        <f>(((60*$G$17^1.2)/(BZ$79+2200)+$G$17/20+5)/BZ$29*1.3)</f>
        <v>223.17431346481911</v>
      </c>
      <c r="CA32" s="580"/>
      <c r="CB32" s="580">
        <f>(((60*$G$17^1.2)/(CB$79+2200)+$G$17/20+5)/CB$29*1.3)</f>
        <v>146.96754891700326</v>
      </c>
      <c r="CC32" s="580"/>
      <c r="CD32" s="580">
        <f>(((60*$G$17^1.2)/(CD$79+2200)+$G$17/20+5)/CD$29*1.3)</f>
        <v>135.61434096883858</v>
      </c>
      <c r="CE32" s="580"/>
      <c r="CF32" s="580">
        <f>(((60*$G$17^1.2)/(CF$79+2200)+$G$17/20+5)/CF$29*1.3)</f>
        <v>252.49831993994354</v>
      </c>
      <c r="CG32" s="580"/>
      <c r="CH32" s="580">
        <f>(((60*$G$17^1.2)/(CH$79+2200)+$G$17/20+5)/CH$29*1.3)</f>
        <v>241.01696290735512</v>
      </c>
      <c r="CI32" s="580"/>
      <c r="CJ32" s="580">
        <f>(((60*$G$17^1.2)/(CJ$79+2200)+$G$17/20+5)/CJ$29*1.3)</f>
        <v>253.01670896984302</v>
      </c>
      <c r="CK32" s="580"/>
      <c r="CL32" s="580">
        <f>(((60*$G$17^1.2)/(CL$79+2200)+$G$17/20+5)/CL$29*1.3)</f>
        <v>245.11744756185098</v>
      </c>
      <c r="CM32" s="580"/>
      <c r="CN32" s="580">
        <f>(((60*$G$17^1.2)/(CN$79+2200)+$G$17/20+5)/CN$29*1.3)</f>
        <v>126.20339258147102</v>
      </c>
      <c r="CO32" s="580"/>
      <c r="CP32" s="580">
        <f>(((60*$G$17^1.2)/(CP$79+2200)+$G$17/20+5)/CP$29*1.3)</f>
        <v>301.44515781571516</v>
      </c>
      <c r="CQ32" s="580"/>
      <c r="CR32" s="580">
        <f>(((60*$G$17^1.2)/(CR$79+2200)+$G$17/20+5)/CR$29*1.3)</f>
        <v>102.04985283581048</v>
      </c>
      <c r="CS32" s="580"/>
    </row>
    <row r="33" spans="4:97" hidden="1">
      <c r="D33" s="598"/>
      <c r="G33" t="s">
        <v>756</v>
      </c>
      <c r="H33" s="580">
        <f>(((60*$G$17^1.2)/(H$79+2200)+$G$17/20+5)/H$29*1.7)</f>
        <v>402.02385195128039</v>
      </c>
      <c r="I33" s="580"/>
      <c r="J33" s="580">
        <f>(((60*$G$17^1.2)/(J$79+2200)+$G$17/20+5)/J$29*1.7)</f>
        <v>402.02385195128039</v>
      </c>
      <c r="K33" s="580"/>
      <c r="L33" s="580">
        <f>(((60*$G$17^1.2)/(L$79+2200)+$G$17/20+5)/L$29*1.7)</f>
        <v>401.40555498742617</v>
      </c>
      <c r="M33" s="580"/>
      <c r="N33" s="580">
        <f>(((60*$G$17^1.2)/(N$79+2200)+$G$17/20+5)/N$29*1.7)</f>
        <v>398.95996967503845</v>
      </c>
      <c r="O33" s="580"/>
      <c r="P33" s="580">
        <f>(((60*$G$17^1.2)/(P$79+2200)+$G$17/20+5)/P$29*1.7)</f>
        <v>394.19751406670446</v>
      </c>
      <c r="Q33" s="580"/>
      <c r="R33" s="580">
        <f>(((60*$G$17^1.2)/(R$79+2200)+$G$17/20+5)/R$29*1.7)</f>
        <v>391.30491630025432</v>
      </c>
      <c r="S33" s="580"/>
      <c r="T33" s="580">
        <f>(((60*$G$17^1.2)/(T$79+2200)+$G$17/20+5)/T$29*1.7)</f>
        <v>401.40555498742617</v>
      </c>
      <c r="U33" s="580"/>
      <c r="V33" s="580">
        <f>(((60*$G$17^1.2)/(V$79+2200)+$G$17/20+5)/V$29*1.7)</f>
        <v>379.81134110874945</v>
      </c>
      <c r="W33" s="580"/>
      <c r="X33" s="580">
        <f>(((60*$G$17^1.2)/(X$79+2200)+$G$17/20+5)/X$29*1.7)</f>
        <v>395.37239298329786</v>
      </c>
      <c r="Y33" s="580"/>
      <c r="Z33" s="580">
        <f>(((60*$G$17^1.2)/(Z$79+2200)+$G$17/20+5)/Z$29*1.7)</f>
        <v>370.72813282883442</v>
      </c>
      <c r="AA33" s="580"/>
      <c r="AB33" s="580">
        <f>(((60*$G$17^1.2)/(AB$79+2200)+$G$17/20+5)/AB$29*1.7)</f>
        <v>272.27865049335384</v>
      </c>
      <c r="AC33" s="580"/>
      <c r="AD33" s="580">
        <f>(((60*$G$17^1.2)/(AD$79+2200)+$G$17/20+5)/AD$29*1.7)</f>
        <v>368.31993349389552</v>
      </c>
      <c r="AE33" s="580"/>
      <c r="AF33" s="580">
        <f>(((60*$G$17^1.2)/(AF$79+2200)+$G$17/20+5)/AF$29*1.7)</f>
        <v>323.65172002325357</v>
      </c>
      <c r="AG33" s="580"/>
      <c r="AH33" s="580">
        <f>(((60*$G$17^1.2)/(AH$79+2200)+$G$17/20+5)/AH$29*1.7)</f>
        <v>391.87840524873309</v>
      </c>
      <c r="AI33" s="580"/>
      <c r="AJ33" s="580">
        <f>(((60*$G$17^1.2)/(AJ$79+2200)+$G$17/20+5)/AJ$29*1.7)</f>
        <v>344.66797574003073</v>
      </c>
      <c r="AK33" s="580"/>
      <c r="AL33" s="580">
        <f>(((60*$G$17^1.2)/(AL$79+2200)+$G$17/20+5)/AL$29*1.7)</f>
        <v>306.34421531531945</v>
      </c>
      <c r="AM33" s="580"/>
      <c r="AN33" s="580">
        <f>(((60*$G$17^1.2)/(AN$79+2200)+$G$17/20+5)/AN$29*1.7)</f>
        <v>301.23438059202459</v>
      </c>
      <c r="AO33" s="580"/>
      <c r="AP33" s="580">
        <f>(((60*$G$17^1.2)/(AP$79+2200)+$G$17/20+5)/AP$29*1.7)</f>
        <v>338.63553196947436</v>
      </c>
      <c r="AQ33" s="580"/>
      <c r="AR33" s="580">
        <f>(((60*$G$17^1.2)/(AR$79+2200)+$G$17/20+5)/AR$29*1.7)</f>
        <v>330.19011069069535</v>
      </c>
      <c r="AS33" s="580"/>
      <c r="AT33" s="580">
        <f>(((60*$G$17^1.2)/(AT$79+2200)+$G$17/20+5)/AT$29*1.7)</f>
        <v>318.71708555725974</v>
      </c>
      <c r="AU33" s="580"/>
      <c r="AV33" s="580">
        <f>(((60*$G$17^1.2)/(AV$79+2200)+$G$17/20+5)/AV$29*1.7)</f>
        <v>361.37320464311006</v>
      </c>
      <c r="AW33" s="580"/>
      <c r="AX33" s="580">
        <f>(((60*$G$17^1.2)/(AX$79+2200)+$G$17/20+5)/AX$29*1.7)</f>
        <v>361.37320464311006</v>
      </c>
      <c r="AY33" s="580"/>
      <c r="AZ33" s="580">
        <f>(((60*$G$17^1.2)/(AZ$79+2200)+$G$17/20+5)/AZ$29*1.7)</f>
        <v>361.37320464311006</v>
      </c>
      <c r="BA33" s="580"/>
      <c r="BB33" s="580">
        <f>(((60*$G$17^1.2)/(BB$79+2200)+$G$17/20+5)/BB$29*1.7)</f>
        <v>361.37320464311006</v>
      </c>
      <c r="BC33" s="580"/>
      <c r="BD33" s="580">
        <f>(((60*$G$17^1.2)/(BD$79+2200)+$G$17/20+5)/BD$29*1.7)</f>
        <v>291.84333299245571</v>
      </c>
      <c r="BE33" s="580"/>
      <c r="BF33" s="580">
        <f>(((60*$G$17^1.2)/(BF$79+2200)+$G$17/20+5)/BF$29*1.7)</f>
        <v>317.52197877252689</v>
      </c>
      <c r="BG33" s="580"/>
      <c r="BH33" s="580">
        <f>(((60*$G$17^1.2)/(BH$79+2200)+$G$17/20+5)/BH$29*1.7)</f>
        <v>234.1790056266818</v>
      </c>
      <c r="BI33" s="580"/>
      <c r="BJ33" s="580">
        <f>(((60*$G$17^1.2)/(BJ$79+2200)+$G$17/20+5)/BJ$29*1.7)</f>
        <v>244.43660232155503</v>
      </c>
      <c r="BK33" s="580"/>
      <c r="BL33" s="580">
        <f>(((60*$G$17^1.2)/(BL$79+2200)+$G$17/20+5)/BL$29*1.7)</f>
        <v>283.41546976207337</v>
      </c>
      <c r="BM33" s="580"/>
      <c r="BN33" s="580">
        <f>(((60*$G$17^1.2)/(BN$79+2200)+$G$17/20+5)/BN$29*1.7)</f>
        <v>291.84333299245571</v>
      </c>
      <c r="BO33" s="580"/>
      <c r="BP33" s="580">
        <f>(((60*$G$17^1.2)/(BP$79+2200)+$G$17/20+5)/BP$29*1.7)</f>
        <v>323.65172002325357</v>
      </c>
      <c r="BQ33" s="580"/>
      <c r="BR33" s="580">
        <f>(((60*$G$17^1.2)/(BR$79+2200)+$G$17/20+5)/BR$29*1.7)</f>
        <v>209.67166649622786</v>
      </c>
      <c r="BS33" s="580"/>
      <c r="BT33" s="580">
        <f>(((60*$G$17^1.2)/(BT$79+2200)+$G$17/20+5)/BT$29*1.7)</f>
        <v>244.43660232155503</v>
      </c>
      <c r="BU33" s="580"/>
      <c r="BV33" s="580">
        <f>(((60*$G$17^1.2)/(BV$79+2200)+$G$17/20+5)/BV$29*1.7)</f>
        <v>218.25676598090834</v>
      </c>
      <c r="BW33" s="580"/>
      <c r="BX33" s="580">
        <f>(((60*$G$17^1.2)/(BX$79+2200)+$G$17/20+5)/BX$29*1.7)</f>
        <v>205.45773488103669</v>
      </c>
      <c r="BY33" s="580"/>
      <c r="BZ33" s="580">
        <f>(((60*$G$17^1.2)/(BZ$79+2200)+$G$17/20+5)/BZ$29*1.7)</f>
        <v>291.84333299245571</v>
      </c>
      <c r="CA33" s="580"/>
      <c r="CB33" s="580">
        <f>(((60*$G$17^1.2)/(CB$79+2200)+$G$17/20+5)/CB$29*1.7)</f>
        <v>192.18833319915808</v>
      </c>
      <c r="CC33" s="580"/>
      <c r="CD33" s="580">
        <f>(((60*$G$17^1.2)/(CD$79+2200)+$G$17/20+5)/CD$29*1.7)</f>
        <v>177.34183049771198</v>
      </c>
      <c r="CE33" s="580"/>
      <c r="CF33" s="580">
        <f>(((60*$G$17^1.2)/(CF$79+2200)+$G$17/20+5)/CF$29*1.7)</f>
        <v>330.19011069069535</v>
      </c>
      <c r="CG33" s="580"/>
      <c r="CH33" s="580">
        <f>(((60*$G$17^1.2)/(CH$79+2200)+$G$17/20+5)/CH$29*1.7)</f>
        <v>315.17602841731053</v>
      </c>
      <c r="CI33" s="580"/>
      <c r="CJ33" s="580">
        <f>(((60*$G$17^1.2)/(CJ$79+2200)+$G$17/20+5)/CJ$29*1.7)</f>
        <v>330.86800403748703</v>
      </c>
      <c r="CK33" s="580"/>
      <c r="CL33" s="580">
        <f>(((60*$G$17^1.2)/(CL$79+2200)+$G$17/20+5)/CL$29*1.7)</f>
        <v>320.53820065780513</v>
      </c>
      <c r="CM33" s="580"/>
      <c r="CN33" s="580">
        <f>(((60*$G$17^1.2)/(CN$79+2200)+$G$17/20+5)/CN$29*1.7)</f>
        <v>165.0352056834621</v>
      </c>
      <c r="CO33" s="580"/>
      <c r="CP33" s="580">
        <f>(((60*$G$17^1.2)/(CP$79+2200)+$G$17/20+5)/CP$29*1.7)</f>
        <v>394.19751406670446</v>
      </c>
      <c r="CQ33" s="580"/>
      <c r="CR33" s="580">
        <f>(((60*$G$17^1.2)/(CR$79+2200)+$G$17/20+5)/CR$29*1.7)</f>
        <v>133.44980755452139</v>
      </c>
      <c r="CS33" s="580"/>
    </row>
    <row r="34" spans="4:97">
      <c r="H34" s="365"/>
      <c r="I34" s="365"/>
      <c r="J34" s="365"/>
      <c r="K34" s="365"/>
      <c r="L34" s="365"/>
      <c r="M34" s="365"/>
      <c r="N34" s="365"/>
      <c r="O34" s="365"/>
      <c r="P34" s="365"/>
      <c r="Q34" s="365"/>
      <c r="R34" s="365"/>
      <c r="S34" s="365"/>
      <c r="T34" s="365"/>
      <c r="U34" s="365"/>
      <c r="V34" s="365"/>
      <c r="W34" s="365"/>
      <c r="X34" s="365"/>
      <c r="Y34" s="365"/>
      <c r="Z34" s="365"/>
      <c r="AA34" s="365"/>
      <c r="AB34" s="365"/>
      <c r="AC34" s="365"/>
      <c r="AD34" s="365"/>
      <c r="AE34" s="365"/>
      <c r="AF34" s="365"/>
      <c r="AG34" s="365"/>
      <c r="AH34" s="365"/>
      <c r="AI34" s="365"/>
      <c r="AJ34" s="365"/>
      <c r="AK34" s="365"/>
      <c r="AL34" s="365"/>
      <c r="AM34" s="365"/>
      <c r="AN34" s="365"/>
      <c r="AO34" s="365"/>
      <c r="AP34" s="365"/>
      <c r="AQ34" s="365"/>
      <c r="AR34" s="365"/>
      <c r="AS34" s="365"/>
      <c r="AT34" s="365"/>
      <c r="AU34" s="365"/>
      <c r="AV34" s="365"/>
      <c r="AW34" s="365"/>
      <c r="AX34" s="365"/>
      <c r="AY34" s="365"/>
      <c r="AZ34" s="365"/>
      <c r="BA34" s="365"/>
      <c r="BB34" s="365"/>
      <c r="BC34" s="365"/>
      <c r="BD34" s="365"/>
      <c r="BE34" s="365"/>
      <c r="BF34" s="365"/>
      <c r="BG34" s="365"/>
      <c r="BH34" s="365"/>
      <c r="BI34" s="365"/>
      <c r="BJ34" s="365"/>
      <c r="BK34" s="365"/>
      <c r="BL34" s="365"/>
      <c r="BM34" s="365"/>
      <c r="BN34" s="365"/>
      <c r="BO34" s="365"/>
      <c r="BP34" s="365"/>
      <c r="BQ34" s="365"/>
      <c r="BR34" s="365"/>
      <c r="BS34" s="365"/>
      <c r="BT34" s="365"/>
      <c r="BU34" s="365"/>
      <c r="BV34" s="365"/>
      <c r="BW34" s="365"/>
      <c r="BX34" s="365"/>
      <c r="BY34" s="365"/>
      <c r="BZ34" s="365"/>
      <c r="CA34" s="365"/>
      <c r="CB34" s="365"/>
      <c r="CC34" s="365"/>
      <c r="CD34" s="365"/>
      <c r="CE34" s="365"/>
      <c r="CF34" s="365"/>
      <c r="CG34" s="365"/>
      <c r="CH34" s="365"/>
      <c r="CI34" s="365"/>
      <c r="CJ34" s="365"/>
      <c r="CK34" s="365"/>
      <c r="CL34" s="365"/>
      <c r="CM34" s="365"/>
      <c r="CN34" s="365"/>
      <c r="CO34" s="365"/>
      <c r="CP34" s="365"/>
      <c r="CQ34" s="365"/>
      <c r="CR34" s="365"/>
      <c r="CS34" s="365"/>
    </row>
    <row r="35" spans="4:97">
      <c r="D35" s="566" t="s">
        <v>781</v>
      </c>
      <c r="H35" s="588" t="s">
        <v>33</v>
      </c>
      <c r="I35" s="589"/>
      <c r="J35" s="599" t="s">
        <v>37</v>
      </c>
      <c r="K35" s="599"/>
      <c r="L35" s="588" t="s">
        <v>35</v>
      </c>
      <c r="M35" s="589"/>
      <c r="N35" s="599" t="s">
        <v>36</v>
      </c>
      <c r="O35" s="599"/>
      <c r="P35" s="588" t="s">
        <v>393</v>
      </c>
      <c r="Q35" s="589"/>
      <c r="R35" s="599" t="s">
        <v>38</v>
      </c>
      <c r="S35" s="599"/>
      <c r="T35" s="588" t="s">
        <v>560</v>
      </c>
      <c r="U35" s="589"/>
      <c r="V35" s="599" t="s">
        <v>394</v>
      </c>
      <c r="W35" s="599"/>
      <c r="X35" s="588" t="s">
        <v>764</v>
      </c>
      <c r="Y35" s="589"/>
      <c r="Z35" s="599" t="s">
        <v>39</v>
      </c>
      <c r="AA35" s="599"/>
      <c r="AB35" s="588" t="s">
        <v>765</v>
      </c>
      <c r="AC35" s="589"/>
      <c r="AD35" s="599" t="s">
        <v>766</v>
      </c>
      <c r="AE35" s="599"/>
      <c r="AF35" s="588" t="s">
        <v>40</v>
      </c>
      <c r="AG35" s="589"/>
      <c r="AH35" s="599" t="s">
        <v>555</v>
      </c>
      <c r="AI35" s="599"/>
      <c r="AJ35" s="588" t="s">
        <v>41</v>
      </c>
      <c r="AK35" s="589"/>
      <c r="AL35" s="599" t="s">
        <v>42</v>
      </c>
      <c r="AM35" s="599"/>
      <c r="AN35" s="588" t="s">
        <v>578</v>
      </c>
      <c r="AO35" s="589"/>
      <c r="AP35" s="599" t="s">
        <v>43</v>
      </c>
      <c r="AQ35" s="599"/>
      <c r="AR35" s="588" t="s">
        <v>554</v>
      </c>
      <c r="AS35" s="589"/>
      <c r="AT35" s="599" t="s">
        <v>44</v>
      </c>
      <c r="AU35" s="599"/>
      <c r="AV35" s="588" t="s">
        <v>769</v>
      </c>
      <c r="AW35" s="589"/>
      <c r="AX35" s="599" t="s">
        <v>770</v>
      </c>
      <c r="AY35" s="599"/>
      <c r="AZ35" s="588" t="s">
        <v>771</v>
      </c>
      <c r="BA35" s="589"/>
      <c r="BB35" s="599" t="s">
        <v>772</v>
      </c>
      <c r="BC35" s="599"/>
      <c r="BD35" s="588" t="s">
        <v>45</v>
      </c>
      <c r="BE35" s="589"/>
      <c r="BF35" s="599" t="s">
        <v>767</v>
      </c>
      <c r="BG35" s="599"/>
      <c r="BH35" s="588" t="s">
        <v>46</v>
      </c>
      <c r="BI35" s="589"/>
      <c r="BJ35" s="599" t="s">
        <v>47</v>
      </c>
      <c r="BK35" s="599"/>
      <c r="BL35" s="588" t="s">
        <v>48</v>
      </c>
      <c r="BM35" s="589"/>
      <c r="BN35" s="599" t="s">
        <v>558</v>
      </c>
      <c r="BO35" s="599"/>
      <c r="BP35" s="588" t="s">
        <v>583</v>
      </c>
      <c r="BQ35" s="589"/>
      <c r="BR35" s="599" t="s">
        <v>51</v>
      </c>
      <c r="BS35" s="599"/>
      <c r="BT35" s="588" t="s">
        <v>556</v>
      </c>
      <c r="BU35" s="589"/>
      <c r="BV35" s="599" t="s">
        <v>49</v>
      </c>
      <c r="BW35" s="599"/>
      <c r="BX35" s="588" t="s">
        <v>553</v>
      </c>
      <c r="BY35" s="589"/>
      <c r="BZ35" s="599" t="s">
        <v>57</v>
      </c>
      <c r="CA35" s="599"/>
      <c r="CB35" s="588" t="s">
        <v>50</v>
      </c>
      <c r="CC35" s="589"/>
      <c r="CD35" s="599" t="s">
        <v>606</v>
      </c>
      <c r="CE35" s="599"/>
      <c r="CF35" s="588" t="s">
        <v>607</v>
      </c>
      <c r="CG35" s="589"/>
      <c r="CH35" s="599" t="s">
        <v>52</v>
      </c>
      <c r="CI35" s="599"/>
      <c r="CJ35" s="588" t="s">
        <v>53</v>
      </c>
      <c r="CK35" s="589"/>
      <c r="CL35" s="599" t="s">
        <v>54</v>
      </c>
      <c r="CM35" s="599"/>
      <c r="CN35" s="588" t="s">
        <v>55</v>
      </c>
      <c r="CO35" s="589"/>
      <c r="CP35" s="599" t="s">
        <v>616</v>
      </c>
      <c r="CQ35" s="599"/>
      <c r="CR35" s="588" t="s">
        <v>617</v>
      </c>
      <c r="CS35" s="589"/>
    </row>
    <row r="36" spans="4:97">
      <c r="D36" s="598"/>
      <c r="E36" s="581" t="s">
        <v>783</v>
      </c>
      <c r="F36" s="581"/>
      <c r="G36" s="602"/>
      <c r="H36" s="588">
        <f>H29</f>
        <v>1</v>
      </c>
      <c r="I36" s="589"/>
      <c r="J36" s="599">
        <f t="shared" ref="J36:BT36" si="0">J29</f>
        <v>1</v>
      </c>
      <c r="K36" s="599"/>
      <c r="L36" s="588">
        <f t="shared" si="0"/>
        <v>1</v>
      </c>
      <c r="M36" s="589"/>
      <c r="N36" s="599">
        <f t="shared" si="0"/>
        <v>1</v>
      </c>
      <c r="O36" s="599"/>
      <c r="P36" s="588">
        <f t="shared" si="0"/>
        <v>1</v>
      </c>
      <c r="Q36" s="589"/>
      <c r="R36" s="599">
        <f t="shared" si="0"/>
        <v>1</v>
      </c>
      <c r="S36" s="599"/>
      <c r="T36" s="588">
        <f t="shared" si="0"/>
        <v>1</v>
      </c>
      <c r="U36" s="589"/>
      <c r="V36" s="599">
        <f t="shared" si="0"/>
        <v>1</v>
      </c>
      <c r="W36" s="599"/>
      <c r="X36" s="588">
        <f t="shared" si="0"/>
        <v>1</v>
      </c>
      <c r="Y36" s="589"/>
      <c r="Z36" s="599">
        <f t="shared" si="0"/>
        <v>1</v>
      </c>
      <c r="AA36" s="599"/>
      <c r="AB36" s="588">
        <f t="shared" si="0"/>
        <v>1</v>
      </c>
      <c r="AC36" s="589"/>
      <c r="AD36" s="599">
        <f t="shared" si="0"/>
        <v>1</v>
      </c>
      <c r="AE36" s="599"/>
      <c r="AF36" s="588">
        <f t="shared" si="0"/>
        <v>1</v>
      </c>
      <c r="AG36" s="589"/>
      <c r="AH36" s="599">
        <f t="shared" si="0"/>
        <v>1</v>
      </c>
      <c r="AI36" s="599"/>
      <c r="AJ36" s="588">
        <f t="shared" si="0"/>
        <v>1</v>
      </c>
      <c r="AK36" s="589"/>
      <c r="AL36" s="599">
        <f t="shared" si="0"/>
        <v>1</v>
      </c>
      <c r="AM36" s="599"/>
      <c r="AN36" s="588">
        <f t="shared" si="0"/>
        <v>1</v>
      </c>
      <c r="AO36" s="589"/>
      <c r="AP36" s="599">
        <f t="shared" si="0"/>
        <v>1</v>
      </c>
      <c r="AQ36" s="599"/>
      <c r="AR36" s="588">
        <f t="shared" si="0"/>
        <v>1</v>
      </c>
      <c r="AS36" s="589"/>
      <c r="AT36" s="599">
        <f t="shared" si="0"/>
        <v>1</v>
      </c>
      <c r="AU36" s="599"/>
      <c r="AV36" s="588">
        <f t="shared" si="0"/>
        <v>1</v>
      </c>
      <c r="AW36" s="589"/>
      <c r="AX36" s="599">
        <f t="shared" si="0"/>
        <v>1</v>
      </c>
      <c r="AY36" s="599"/>
      <c r="AZ36" s="588">
        <f t="shared" si="0"/>
        <v>1</v>
      </c>
      <c r="BA36" s="589"/>
      <c r="BB36" s="599">
        <f t="shared" si="0"/>
        <v>1</v>
      </c>
      <c r="BC36" s="599"/>
      <c r="BD36" s="588">
        <f t="shared" si="0"/>
        <v>1</v>
      </c>
      <c r="BE36" s="589"/>
      <c r="BF36" s="599">
        <f t="shared" si="0"/>
        <v>1</v>
      </c>
      <c r="BG36" s="599"/>
      <c r="BH36" s="588">
        <f t="shared" si="0"/>
        <v>1</v>
      </c>
      <c r="BI36" s="589"/>
      <c r="BJ36" s="599">
        <f t="shared" si="0"/>
        <v>1</v>
      </c>
      <c r="BK36" s="599"/>
      <c r="BL36" s="588">
        <f t="shared" si="0"/>
        <v>1</v>
      </c>
      <c r="BM36" s="589"/>
      <c r="BN36" s="599">
        <f t="shared" si="0"/>
        <v>1</v>
      </c>
      <c r="BO36" s="599"/>
      <c r="BP36" s="588">
        <f t="shared" si="0"/>
        <v>1</v>
      </c>
      <c r="BQ36" s="589"/>
      <c r="BR36" s="599">
        <f t="shared" si="0"/>
        <v>1</v>
      </c>
      <c r="BS36" s="599"/>
      <c r="BT36" s="588">
        <f t="shared" si="0"/>
        <v>1</v>
      </c>
      <c r="BU36" s="589"/>
      <c r="BV36" s="599">
        <f t="shared" ref="BV36:CR36" si="1">BV29</f>
        <v>1</v>
      </c>
      <c r="BW36" s="599"/>
      <c r="BX36" s="588">
        <f t="shared" si="1"/>
        <v>1</v>
      </c>
      <c r="BY36" s="589"/>
      <c r="BZ36" s="599">
        <f t="shared" si="1"/>
        <v>1</v>
      </c>
      <c r="CA36" s="599"/>
      <c r="CB36" s="588">
        <f t="shared" si="1"/>
        <v>1</v>
      </c>
      <c r="CC36" s="589"/>
      <c r="CD36" s="599">
        <f t="shared" si="1"/>
        <v>1</v>
      </c>
      <c r="CE36" s="599"/>
      <c r="CF36" s="588">
        <f t="shared" si="1"/>
        <v>1</v>
      </c>
      <c r="CG36" s="589"/>
      <c r="CH36" s="599">
        <f t="shared" si="1"/>
        <v>1</v>
      </c>
      <c r="CI36" s="599"/>
      <c r="CJ36" s="588">
        <f t="shared" si="1"/>
        <v>1</v>
      </c>
      <c r="CK36" s="589"/>
      <c r="CL36" s="599">
        <f t="shared" si="1"/>
        <v>1</v>
      </c>
      <c r="CM36" s="599"/>
      <c r="CN36" s="588">
        <f t="shared" si="1"/>
        <v>1</v>
      </c>
      <c r="CO36" s="589"/>
      <c r="CP36" s="599">
        <f t="shared" si="1"/>
        <v>1</v>
      </c>
      <c r="CQ36" s="599"/>
      <c r="CR36" s="588">
        <f t="shared" si="1"/>
        <v>1</v>
      </c>
      <c r="CS36" s="589"/>
    </row>
    <row r="37" spans="4:97">
      <c r="D37" s="598"/>
      <c r="G37" t="s">
        <v>753</v>
      </c>
      <c r="H37" s="600">
        <f>H30</f>
        <v>189.1876950358967</v>
      </c>
      <c r="I37" s="601"/>
      <c r="J37" s="580">
        <f>J30</f>
        <v>189.1876950358967</v>
      </c>
      <c r="K37" s="580"/>
      <c r="L37" s="600">
        <f>IF($G$19=1,L30*2,L30)</f>
        <v>188.8967317587888</v>
      </c>
      <c r="M37" s="601"/>
      <c r="N37" s="580">
        <f>N30</f>
        <v>187.74586808237106</v>
      </c>
      <c r="O37" s="580"/>
      <c r="P37" s="600">
        <f>IF($G$19=1,P30*2,P30)</f>
        <v>185.50471250197859</v>
      </c>
      <c r="Q37" s="601"/>
      <c r="R37" s="580">
        <f>R30</f>
        <v>184.14349002364909</v>
      </c>
      <c r="S37" s="580"/>
      <c r="T37" s="600">
        <f>T30</f>
        <v>188.8967317587888</v>
      </c>
      <c r="U37" s="601"/>
      <c r="V37" s="580">
        <f>IF($G$19=2,V30*2,V30)</f>
        <v>178.73474875705858</v>
      </c>
      <c r="W37" s="580"/>
      <c r="X37" s="600">
        <f>IF($G$19=1,X30*2,X30)</f>
        <v>186.05759669802254</v>
      </c>
      <c r="Y37" s="601"/>
      <c r="Z37" s="580">
        <f>IF($G$19=1,Z30*2,Z30)</f>
        <v>174.46029780180447</v>
      </c>
      <c r="AA37" s="580"/>
      <c r="AB37" s="600">
        <f>IF(AND($G$22=1,OR($G$25=1,$G$25=2)),AB30/2/4,IF(AND($G$22=1,$G$25=4),AB30/2*3,IF(AND($G$22=1,OR($G$25=3,$G$25=0)),AB30/2,IF(AND($G$22=0,OR($G$25=1,$G$25=2)),AB30/4,IF(AND($G$22=0,$G$25=4),AB30*3,AB30)))))</f>
        <v>16.016391205491402</v>
      </c>
      <c r="AC37" s="601"/>
      <c r="AD37" s="580">
        <f>IF($G$25=2,AD30*3,IF(OR($G$25=3,$G$25=4),AD30/4,AD30))</f>
        <v>173.32702752653907</v>
      </c>
      <c r="AE37" s="580"/>
      <c r="AF37" s="600">
        <f>IF($G$19=1,AF30*2,AF30)</f>
        <v>152.30669177564874</v>
      </c>
      <c r="AG37" s="601"/>
      <c r="AH37" s="580">
        <f>IF(AND($G$19=1,$G$25=3),AH30*2*3,IF(AND($G$19=1,OR($G$25=1,$G$25=4)),AH30*2/4,IF(AND($G$19=1,OR($G$25=2,$G$25=0)),AH30*2,IF(AND($G$19&lt;&gt;1,$G$25=3),AH30*3,IF(AND($G$19&lt;&gt;1,OR($G$25=1,$G$25=4)),AH30/4,AH30)))))</f>
        <v>46.103341793968603</v>
      </c>
      <c r="AI37" s="580"/>
      <c r="AJ37" s="600">
        <f>IF($G$19=3,AJ30*2,AJ30)</f>
        <v>162.19669446589683</v>
      </c>
      <c r="AK37" s="601"/>
      <c r="AL37" s="580">
        <f>IF($G$19=1,AL30*2,AL30)</f>
        <v>144.16198367779739</v>
      </c>
      <c r="AM37" s="580"/>
      <c r="AN37" s="600">
        <f>IF(OR($G$25=2,$G$25=4),AN30*0.75,IF(OR($G$25=1,$G$25=3),AN30/4,AN30))</f>
        <v>35.439338893179368</v>
      </c>
      <c r="AO37" s="601"/>
      <c r="AP37" s="580">
        <f>IF(AND($G$19=3,$G$25=1),AP30*2*3,IF(AND($G$19=3,OR($G$25=2,$G$25=3)),AP30*2/4,IF(AND($G$19=3,OR($G$25=4,$G$25=0)),AP30*2,IF(AND($G$19&lt;&gt;3,$G$25=1),AP30*3,IF(AND($G$19&lt;&gt;3,OR($G$25=2,$G$25=3)),AP30/4,AP30)))))</f>
        <v>478.07369219219913</v>
      </c>
      <c r="AQ37" s="580"/>
      <c r="AR37" s="600">
        <f>IF(AND($G$19=3,$G$25=4),AR30*2*3,IF(AND($G$19=3,OR($G$25=1,$G$25=1)),AR30*2/4,IF(AND($G$19=3,OR($G$25=3,$G$25=0)),AR30*2,IF(AND($G$19&lt;&gt;3,$G$25=4),AR30*3,IF(AND($G$19&lt;&gt;3,OR($G$25=1,$G$25=2)),AR30/4,AR30)))))</f>
        <v>38.845895375375932</v>
      </c>
      <c r="AS37" s="601"/>
      <c r="AT37" s="580">
        <f>IF($G$19=4,AT30*2,AT30)</f>
        <v>149.98451085047517</v>
      </c>
      <c r="AU37" s="580"/>
      <c r="AV37" s="600">
        <f>IF(AND($G$19=4,$G$25=2),AV30*2*3,IF(AND($G$19=4,OR($G$25=3,$G$25=4)),AV30*2/4,IF(AND($G$19=4,OR($G$25=1,$G$25=0)),AV30*2,IF(AND($G$19&lt;&gt;4,$G$25=2),AV30*3,IF(AND($G$19&lt;&gt;4,OR($G$25=3,$G$25=4)),AV30/4,AV30)))))</f>
        <v>170.05797865558122</v>
      </c>
      <c r="AW37" s="601"/>
      <c r="AX37" s="580">
        <f>IF(AND($G$19=4,$G$25=3),AX30*2*3,IF(AND($G$19=4,OR($G$25=1,$G$25=4)),AX30*2/4,IF(AND($G$19=4,OR($G$25=2,$G$25=0)),AX30*2,IF(AND($G$19&lt;&gt;4,$G$25=3),AX30*3,IF(AND($G$19&lt;&gt;4,OR($G$25=1,$G$25=4)),AX30/4,AX30)))))</f>
        <v>42.514494663895306</v>
      </c>
      <c r="AY37" s="580"/>
      <c r="AZ37" s="600">
        <f>IF(AND($G$19=4,$G$25=4),AZ30*2*3,IF(AND($G$19=4,OR($G$25=1,$G$25=1)),AZ30*2/4,IF(AND($G$19=4,OR($G$25=3,$G$25=0)),AZ30*2,IF(AND($G$19&lt;&gt;4,$G$25=4),AZ30*3,IF(AND($G$19&lt;&gt;4,OR($G$25=1,$G$25=2)),AZ30/4,AZ30)))))</f>
        <v>42.514494663895306</v>
      </c>
      <c r="BA37" s="601"/>
      <c r="BB37" s="580">
        <f>IF(AND($G$19=4,$G$25=1),BB30*2*3,IF(AND($G$19=4,OR($G$25=2,$G$25=3)),BB30*2/4,IF(AND($G$19=4,OR($G$25=4,$G$25=0)),BB30*2,IF(AND($G$19&lt;&gt;4,$G$25=1),BB30*3,IF(AND($G$19&lt;&gt;4,OR($G$25=2,$G$25=3)),BB30/4,BB30)))))</f>
        <v>510.17393596674367</v>
      </c>
      <c r="BC37" s="580"/>
      <c r="BD37" s="600">
        <f>IF($G$19=2,BD30*2,BD30)</f>
        <v>137.3380390552733</v>
      </c>
      <c r="BE37" s="601"/>
      <c r="BF37" s="580">
        <f>IF(AND($G$19=3,$G$25=4),BF30*2*3,IF(AND($G$19=3,OR($G$25=1,$G$25=1)),BF30*2/4,IF(AND($G$19=3,OR($G$25=3,$G$25=0)),BF30*2,IF(AND($G$19&lt;&gt;3,$G$25=4),BF30*3,IF(AND($G$19&lt;&gt;3,OR($G$25=1,$G$25=2)),BF30/4,BF30)))))</f>
        <v>37.355526914414931</v>
      </c>
      <c r="BG37" s="580"/>
      <c r="BH37" s="600">
        <f>IF($G$25=3,BH30*3,IF(OR($G$25=1,$G$25=4),BH30/4,BH30))</f>
        <v>27.550471250197859</v>
      </c>
      <c r="BI37" s="601"/>
      <c r="BJ37" s="580">
        <f>IF($G$25=4,BJ30*3,IF(OR($G$25=1,$G$25=2),BJ30/4,BJ30))</f>
        <v>28.757247331947653</v>
      </c>
      <c r="BK37" s="580"/>
      <c r="BL37" s="600">
        <f>IF($G$19=2,BL30*2,BL30)</f>
        <v>133.37198577038748</v>
      </c>
      <c r="BM37" s="601"/>
      <c r="BN37" s="580">
        <f>IF(AND($G$19=3,$G$25=1),BN30*2*3,IF(AND($G$19=3,OR($G$25=2,$G$25=3)),BN30*2/4,IF(AND($G$19=3,OR($G$25=2,$G$25=0)),BN30*2,IF(AND($G$19&lt;&gt;3,$G$25=1),BN30*3,IF(AND($G$19&lt;&gt;3,OR($G$25=2,$G$25=3)),BN30/4,BN30)))))</f>
        <v>412.01411716581993</v>
      </c>
      <c r="BO37" s="580"/>
      <c r="BP37" s="600">
        <f>BP30</f>
        <v>152.30669177564874</v>
      </c>
      <c r="BQ37" s="601"/>
      <c r="BR37" s="580">
        <f>IF($G$19=4,BR30*2,BR30)</f>
        <v>98.66901952763665</v>
      </c>
      <c r="BS37" s="580"/>
      <c r="BT37" s="600">
        <f>IF($G$19=1,BT30*2,BT30)</f>
        <v>115.02898932779061</v>
      </c>
      <c r="BU37" s="601"/>
      <c r="BV37" s="580">
        <f>IF($G$19=3,BV30*2,BV30)</f>
        <v>102.70906634395688</v>
      </c>
      <c r="BW37" s="580"/>
      <c r="BX37" s="600">
        <f>IF(AND($G$19=2,$G$25=0),BX30*2,IF(AND($G$19=2,OR($G$25=2,$G$25=4)),BX30*2/4,IF(AND($G$19=2,OR($G$25=1,$G$25=3)),BX30*2*0.75,IF(AND($G$19&lt;&gt;2,OR($G$25=2,$G$25=4)),BX30/4,IF(AND($G$19&lt;&gt;2,OR($G$25=1,$G$25=3)),BX30*0.75,BX30)))))</f>
        <v>72.514494663895306</v>
      </c>
      <c r="BY37" s="601"/>
      <c r="BZ37" s="580">
        <f>IF(AND($G$19=2,$G$25=2),BZ30*2*3,IF(AND($G$19=2,OR($G$25=3,$G$25=4)),BZ30*2/4,IF(AND($G$19=2,OR($G$25=1,$G$25=0)),BZ30*2,IF(AND($G$19&lt;&gt;2,$G$25=2),BZ30*3,IF(AND($G$19&lt;&gt;2,OR($G$25=3,$G$25=4)),BZ30/4,BZ30)))))</f>
        <v>137.3380390552733</v>
      </c>
      <c r="CA37" s="580"/>
      <c r="CB37" s="600">
        <f>IF(AND($G$22=1,OR($G$25=2,$G$25=3)),CB30/2/4,IF(AND($G$22=1,$G$25=1),CB30/2*3,IF(AND($G$22=1,OR($G$25=4,$G$25=0)),CB30/2,IF(AND($G$22=0,OR($G$25=2,$G$25=3)),CB30/4,IF(AND($G$22=0,$G$25=1),CB30*3,CB30)))))</f>
        <v>135.66235284646456</v>
      </c>
      <c r="CC37" s="601"/>
      <c r="CD37" s="580">
        <f>IF(AND($G$19=3,$G$25=4),CD30*2*3,IF(AND($G$19=3,OR($G$25=1,$G$25=1)),CD30*2/4,IF(AND($G$19=3,OR($G$25=3,$G$25=0)),CD30*2,IF(AND($G$19&lt;&gt;3,$G$25=4),CD30*3,IF(AND($G$19&lt;&gt;3,OR($G$25=1,$G$25=2)),CD30/4,CD30)))))</f>
        <v>20.863744764436703</v>
      </c>
      <c r="CE37" s="580"/>
      <c r="CF37" s="600">
        <f>IF($G$19=1,CF30*2,CF30)</f>
        <v>155.38358150150373</v>
      </c>
      <c r="CG37" s="601"/>
      <c r="CH37" s="580">
        <f>IF($G$25=2,CH30*3,IF(OR($G$25=3,$G$25=4),CH30/4,CH30))</f>
        <v>148.31813101991085</v>
      </c>
      <c r="CI37" s="580"/>
      <c r="CJ37" s="600">
        <f>IF(AND($G$19=1,$G$25=1),CJ30*2*3,IF(AND($G$19=1,OR($G$25=2,$G$25=3)),CJ30*2/4,IF(AND($G$19=1,OR($G$25=4,$G$25=0)),CJ30*2,IF(AND($G$19&lt;&gt;1,$G$25=1),CJ30*3,IF(AND($G$19&lt;&gt;1,OR($G$25=2,$G$25=3)),CJ30/4,CJ30)))))</f>
        <v>467.10777040586402</v>
      </c>
      <c r="CK37" s="601"/>
      <c r="CL37" s="580">
        <f>IF(AND($G$19=2,$G$25=4),CL30*2*3,IF(AND($G$19=2,OR($G$25=1,$G$25=1)),CL30*2/4,IF(AND($G$19=2,OR($G$25=3,$G$25=0)),CL30*2,IF(AND($G$19&lt;&gt;2,$G$25=4),CL30*3,IF(AND($G$19&lt;&gt;2,OR($G$25=1,$G$25=2)),CL30/4,CL30)))))</f>
        <v>37.710376547977077</v>
      </c>
      <c r="CM37" s="580"/>
      <c r="CN37" s="600">
        <f>CN30</f>
        <v>77.663626203982176</v>
      </c>
      <c r="CO37" s="601"/>
      <c r="CP37" s="580">
        <f>CP30</f>
        <v>185.50471250197859</v>
      </c>
      <c r="CQ37" s="580"/>
      <c r="CR37" s="600">
        <f>CR30</f>
        <v>62.799909437421832</v>
      </c>
      <c r="CS37" s="601"/>
    </row>
    <row r="38" spans="4:97">
      <c r="D38" s="598"/>
      <c r="G38" t="s">
        <v>754</v>
      </c>
      <c r="H38" s="600">
        <f>H31</f>
        <v>283.78154255384499</v>
      </c>
      <c r="I38" s="601"/>
      <c r="J38" s="580">
        <f>J31</f>
        <v>283.78154255384499</v>
      </c>
      <c r="K38" s="580"/>
      <c r="L38" s="600">
        <f>IF($G$19=1,L31*2,L31)</f>
        <v>283.34509763818318</v>
      </c>
      <c r="M38" s="601"/>
      <c r="N38" s="580">
        <f>N31</f>
        <v>281.61880212355658</v>
      </c>
      <c r="O38" s="580"/>
      <c r="P38" s="600">
        <f>IF($G$19=1,P31*2,P31)</f>
        <v>278.25706875296783</v>
      </c>
      <c r="Q38" s="601"/>
      <c r="R38" s="580">
        <f>R31</f>
        <v>276.2152350354736</v>
      </c>
      <c r="S38" s="580"/>
      <c r="T38" s="600">
        <f>T31</f>
        <v>283.34509763818318</v>
      </c>
      <c r="U38" s="601"/>
      <c r="V38" s="580">
        <f>IF($G$19=2,V31*2,V31)</f>
        <v>268.10212313558782</v>
      </c>
      <c r="W38" s="580"/>
      <c r="X38" s="600">
        <f>IF($G$19=1,X31*2,X31)</f>
        <v>279.08639504703376</v>
      </c>
      <c r="Y38" s="601"/>
      <c r="Z38" s="580">
        <f>IF($G$19=1,Z31*2,Z31)</f>
        <v>261.69044670270665</v>
      </c>
      <c r="AA38" s="580"/>
      <c r="AB38" s="600">
        <f>IF(AND($G$22=1,OR($G$25=1,$G$25=2)),AB31/2/4,IF(AND($G$22=1,$G$25=4),AB31/2*3,IF(AND($G$22=1,OR($G$25=3,$G$25=0)),AB31/2,IF(AND($G$22=0,OR($G$25=1,$G$25=2)),AB31/4,IF(AND($G$22=0,$G$25=4),AB31*3,AB31)))))</f>
        <v>24.024586808237103</v>
      </c>
      <c r="AC38" s="601"/>
      <c r="AD38" s="580">
        <f>IF($G$25=2,AD31*3,IF(OR($G$25=3,$G$25=4),AD31/4,AD31))</f>
        <v>259.99054128980856</v>
      </c>
      <c r="AE38" s="580"/>
      <c r="AF38" s="600">
        <f>IF($G$19=1,AF31*2,AF31)</f>
        <v>228.46003766347309</v>
      </c>
      <c r="AG38" s="601"/>
      <c r="AH38" s="580">
        <f>IF(AND($G$19=1,$G$25=3),AH31*2*3,IF(AND($G$19=1,OR($G$25=1,$G$25=4)),AH31*2/4,IF(AND($G$19=1,OR($G$25=2,$G$25=0)),AH31*2,IF(AND($G$19&lt;&gt;1,$G$25=3),AH31*3,IF(AND($G$19&lt;&gt;1,OR($G$25=1,$G$25=4)),AH31/4,AH31)))))</f>
        <v>69.155012690952901</v>
      </c>
      <c r="AI38" s="580"/>
      <c r="AJ38" s="600">
        <f>IF($G$19=3,AJ31*2,AJ31)</f>
        <v>243.29504169884524</v>
      </c>
      <c r="AK38" s="601"/>
      <c r="AL38" s="580">
        <f>IF($G$19=1,AL31*2,AL31)</f>
        <v>216.24297551669608</v>
      </c>
      <c r="AM38" s="580"/>
      <c r="AN38" s="600">
        <f>IF(OR($G$25=2,$G$25=4),AN31*0.75,IF(OR($G$25=1,$G$25=3),AN31/4,AN31))</f>
        <v>53.159008339769045</v>
      </c>
      <c r="AO38" s="601"/>
      <c r="AP38" s="580">
        <f>IF(AND($G$19=3,$G$25=1),AP31*2*3,IF(AND($G$19=3,OR($G$25=2,$G$25=3)),AP31*2/4,IF(AND($G$19=3,OR($G$25=4,$G$25=0)),AP31*2,IF(AND($G$19&lt;&gt;3,$G$25=1),AP31*3,IF(AND($G$19&lt;&gt;3,OR($G$25=2,$G$25=3)),AP31/4,AP31)))))</f>
        <v>717.1105382882987</v>
      </c>
      <c r="AQ38" s="580"/>
      <c r="AR38" s="600">
        <f>IF(AND($G$19=3,$G$25=4),AR31*2*3,IF(AND($G$19=3,OR($G$25=1,$G$25=1)),AR31*2/4,IF(AND($G$19=3,OR($G$25=3,$G$25=0)),AR31*2,IF(AND($G$19&lt;&gt;3,$G$25=4),AR31*3,IF(AND($G$19&lt;&gt;3,OR($G$25=1,$G$25=2)),AR31/4,AR31)))))</f>
        <v>58.268843063063883</v>
      </c>
      <c r="AS38" s="601"/>
      <c r="AT38" s="580">
        <f>IF($G$19=4,AT31*2,AT31)</f>
        <v>224.97676627571278</v>
      </c>
      <c r="AU38" s="580"/>
      <c r="AV38" s="600">
        <f>IF(AND($G$19=4,$G$25=2),AV31*2*3,IF(AND($G$19=4,OR($G$25=3,$G$25=4)),AV31*2/4,IF(AND($G$19=4,OR($G$25=1,$G$25=0)),AV31*2,IF(AND($G$19&lt;&gt;4,$G$25=2),AV31*3,IF(AND($G$19&lt;&gt;4,OR($G$25=3,$G$25=4)),AV31/4,AV31)))))</f>
        <v>255.08696798337178</v>
      </c>
      <c r="AW38" s="601"/>
      <c r="AX38" s="580">
        <f>IF(AND($G$19=4,$G$25=3),AX31*2*3,IF(AND($G$19=4,OR($G$25=1,$G$25=4)),AX31*2/4,IF(AND($G$19=4,OR($G$25=2,$G$25=0)),AX31*2,IF(AND($G$19&lt;&gt;4,$G$25=3),AX31*3,IF(AND($G$19&lt;&gt;4,OR($G$25=1,$G$25=4)),AX31/4,AX31)))))</f>
        <v>63.771741995842945</v>
      </c>
      <c r="AY38" s="580"/>
      <c r="AZ38" s="600">
        <f>IF(AND($G$19=4,$G$25=4),AZ31*2*3,IF(AND($G$19=4,OR($G$25=1,$G$25=1)),AZ31*2/4,IF(AND($G$19=4,OR($G$25=3,$G$25=0)),AZ31*2,IF(AND($G$19&lt;&gt;4,$G$25=4),AZ31*3,IF(AND($G$19&lt;&gt;4,OR($G$25=1,$G$25=2)),AZ31/4,AZ31)))))</f>
        <v>63.771741995842945</v>
      </c>
      <c r="BA38" s="601"/>
      <c r="BB38" s="580">
        <f>IF(AND($G$19=4,$G$25=1),BB31*2*3,IF(AND($G$19=4,OR($G$25=2,$G$25=3)),BB31*2/4,IF(AND($G$19=4,OR($G$25=4,$G$25=0)),BB31*2,IF(AND($G$19&lt;&gt;4,$G$25=1),BB31*3,IF(AND($G$19&lt;&gt;4,OR($G$25=2,$G$25=3)),BB31/4,BB31)))))</f>
        <v>765.26090395011533</v>
      </c>
      <c r="BC38" s="580"/>
      <c r="BD38" s="600">
        <f>IF($G$19=2,BD31*2,BD31)</f>
        <v>206.00705858290993</v>
      </c>
      <c r="BE38" s="601"/>
      <c r="BF38" s="580">
        <f>IF(AND($G$19=3,$G$25=4),BF31*2*3,IF(AND($G$19=3,OR($G$25=1,$G$25=1)),BF31*2/4,IF(AND($G$19=3,OR($G$25=3,$G$25=0)),BF31*2,IF(AND($G$19&lt;&gt;3,$G$25=4),BF31*3,IF(AND($G$19&lt;&gt;3,OR($G$25=1,$G$25=2)),BF31/4,BF31)))))</f>
        <v>56.033290371622392</v>
      </c>
      <c r="BG38" s="580"/>
      <c r="BH38" s="600">
        <f>IF($G$25=3,BH31*3,IF(OR($G$25=1,$G$25=4),BH31/4,BH31))</f>
        <v>41.325706875296788</v>
      </c>
      <c r="BI38" s="601"/>
      <c r="BJ38" s="580">
        <f>IF($G$25=4,BJ31*3,IF(OR($G$25=1,$G$25=2),BJ31/4,BJ31))</f>
        <v>43.135870997921472</v>
      </c>
      <c r="BK38" s="580"/>
      <c r="BL38" s="600">
        <f>IF($G$19=2,BL31*2,BL31)</f>
        <v>200.05797865558122</v>
      </c>
      <c r="BM38" s="601"/>
      <c r="BN38" s="580">
        <f>IF(AND($G$19=3,$G$25=1),BN31*2*3,IF(AND($G$19=3,OR($G$25=2,$G$25=3)),BN31*2/4,IF(AND($G$19=3,OR($G$25=2,$G$25=0)),BN31*2,IF(AND($G$19&lt;&gt;3,$G$25=1),BN31*3,IF(AND($G$19&lt;&gt;3,OR($G$25=2,$G$25=3)),BN31/4,BN31)))))</f>
        <v>618.02117574872977</v>
      </c>
      <c r="BO38" s="580"/>
      <c r="BP38" s="600">
        <f>BP31</f>
        <v>228.46003766347309</v>
      </c>
      <c r="BQ38" s="601"/>
      <c r="BR38" s="580">
        <f>IF($G$19=4,BR31*2,BR31)</f>
        <v>148.00352929145495</v>
      </c>
      <c r="BS38" s="580"/>
      <c r="BT38" s="600">
        <f>IF($G$19=1,BT31*2,BT31)</f>
        <v>172.54348399168589</v>
      </c>
      <c r="BU38" s="601"/>
      <c r="BV38" s="580">
        <f>IF($G$19=3,BV31*2,BV31)</f>
        <v>154.06359951593529</v>
      </c>
      <c r="BW38" s="580"/>
      <c r="BX38" s="600">
        <f>IF(AND($G$19=2,$G$25=0),BX31*2,IF(AND($G$19=2,OR($G$25=2,$G$25=4)),BX31*2/4,IF(AND($G$19=2,OR($G$25=1,$G$25=3)),BX31*2*0.75,IF(AND($G$19&lt;&gt;2,OR($G$25=2,$G$25=4)),BX31/4,IF(AND($G$19&lt;&gt;2,OR($G$25=1,$G$25=3)),BX31*0.75,BX31)))))</f>
        <v>108.77174199584296</v>
      </c>
      <c r="BY38" s="601"/>
      <c r="BZ38" s="580">
        <f>IF(AND($G$19=2,$G$25=2),BZ31*2*3,IF(AND($G$19=2,OR($G$25=3,$G$25=4)),BZ31*2/4,IF(AND($G$19=2,OR($G$25=1,$G$25=0)),BZ31*2,IF(AND($G$19&lt;&gt;2,$G$25=2),BZ31*3,IF(AND($G$19&lt;&gt;2,OR($G$25=3,$G$25=4)),BZ31/4,BZ31)))))</f>
        <v>206.00705858290993</v>
      </c>
      <c r="CA38" s="580"/>
      <c r="CB38" s="600">
        <f>IF(AND($G$22=1,OR($G$25=2,$G$25=3)),CB31/2/4,IF(AND($G$22=1,$G$25=1),CB31/2*3,IF(AND($G$22=1,OR($G$25=4,$G$25=0)),CB31/2,IF(AND($G$22=0,OR($G$25=2,$G$25=3)),CB31/4,IF(AND($G$22=0,$G$25=1),CB31*3,CB31)))))</f>
        <v>203.49352926969681</v>
      </c>
      <c r="CC38" s="601"/>
      <c r="CD38" s="580">
        <f>IF(AND($G$19=3,$G$25=4),CD31*2*3,IF(AND($G$19=3,OR($G$25=1,$G$25=1)),CD31*2/4,IF(AND($G$19=3,OR($G$25=3,$G$25=0)),CD31*2,IF(AND($G$19&lt;&gt;3,$G$25=4),CD31*3,IF(AND($G$19&lt;&gt;3,OR($G$25=1,$G$25=2)),CD31/4,CD31)))))</f>
        <v>31.295617146655054</v>
      </c>
      <c r="CE38" s="580"/>
      <c r="CF38" s="600">
        <f>IF($G$19=1,CF31*2,CF31)</f>
        <v>233.07537225225553</v>
      </c>
      <c r="CG38" s="601"/>
      <c r="CH38" s="580">
        <f>IF($G$25=2,CH31*3,IF(OR($G$25=3,$G$25=4),CH31/4,CH31))</f>
        <v>222.47719652986623</v>
      </c>
      <c r="CI38" s="580"/>
      <c r="CJ38" s="600">
        <f>IF(AND($G$19=1,$G$25=1),CJ31*2*3,IF(AND($G$19=1,OR($G$25=2,$G$25=3)),CJ31*2/4,IF(AND($G$19=1,OR($G$25=4,$G$25=0)),CJ31*2,IF(AND($G$19&lt;&gt;1,$G$25=1),CJ31*3,IF(AND($G$19&lt;&gt;1,OR($G$25=2,$G$25=3)),CJ31/4,CJ31)))))</f>
        <v>700.66165560879608</v>
      </c>
      <c r="CK38" s="601"/>
      <c r="CL38" s="580">
        <f>IF(AND($G$19=2,$G$25=4),CL31*2*3,IF(AND($G$19=2,OR($G$25=1,$G$25=1)),CL31*2/4,IF(AND($G$19=2,OR($G$25=3,$G$25=0)),CL31*2,IF(AND($G$19&lt;&gt;2,$G$25=4),CL31*3,IF(AND($G$19&lt;&gt;2,OR($G$25=1,$G$25=2)),CL31/4,CL31)))))</f>
        <v>56.565564821965609</v>
      </c>
      <c r="CM38" s="580"/>
      <c r="CN38" s="600">
        <f t="shared" ref="CN38:CR40" si="2">CN31</f>
        <v>116.49543930597324</v>
      </c>
      <c r="CO38" s="601"/>
      <c r="CP38" s="580">
        <f t="shared" si="2"/>
        <v>278.25706875296783</v>
      </c>
      <c r="CQ38" s="580"/>
      <c r="CR38" s="600">
        <f t="shared" si="2"/>
        <v>94.199864156132747</v>
      </c>
      <c r="CS38" s="601"/>
    </row>
    <row r="39" spans="4:97">
      <c r="D39" s="598"/>
      <c r="G39" t="s">
        <v>755</v>
      </c>
      <c r="H39" s="600">
        <f>H32</f>
        <v>307.4300044333321</v>
      </c>
      <c r="I39" s="601"/>
      <c r="J39" s="580">
        <f>J32</f>
        <v>307.4300044333321</v>
      </c>
      <c r="K39" s="580"/>
      <c r="L39" s="600">
        <f>IF($G$19=1,L32*2,L32)</f>
        <v>306.9571891080318</v>
      </c>
      <c r="M39" s="601"/>
      <c r="N39" s="580">
        <f>N32</f>
        <v>305.08703563385296</v>
      </c>
      <c r="O39" s="580"/>
      <c r="P39" s="600">
        <f>IF($G$19=1,P32*2,P32)</f>
        <v>301.44515781571516</v>
      </c>
      <c r="Q39" s="601"/>
      <c r="R39" s="580">
        <f>R32</f>
        <v>299.23317128842979</v>
      </c>
      <c r="S39" s="580"/>
      <c r="T39" s="600">
        <f>T32</f>
        <v>306.9571891080318</v>
      </c>
      <c r="U39" s="601"/>
      <c r="V39" s="580">
        <f>IF($G$19=2,V32*2,V32)</f>
        <v>290.44396673022015</v>
      </c>
      <c r="W39" s="580"/>
      <c r="X39" s="600">
        <f>IF($G$19=1,X32*2,X32)</f>
        <v>302.3435946342866</v>
      </c>
      <c r="Y39" s="601"/>
      <c r="Z39" s="580">
        <f>IF($G$19=1,Z32*2,Z32)</f>
        <v>283.49798392793224</v>
      </c>
      <c r="AA39" s="580"/>
      <c r="AB39" s="600">
        <f>IF(AND($G$22=1,OR($G$25=1,$G$25=2)),AB32/2/4,IF(AND($G$22=1,$G$25=4),AB32/2*3,IF(AND($G$22=1,OR($G$25=3,$G$25=0)),AB32/2,IF(AND($G$22=0,OR($G$25=1,$G$25=2)),AB32/4,IF(AND($G$22=0,$G$25=4),AB32*3,AB32)))))</f>
        <v>26.026635708923529</v>
      </c>
      <c r="AC39" s="601"/>
      <c r="AD39" s="580">
        <f>IF($G$25=2,AD32*3,IF(OR($G$25=3,$G$25=4),AD32/4,AD32))</f>
        <v>281.656419730626</v>
      </c>
      <c r="AE39" s="580"/>
      <c r="AF39" s="600">
        <f>IF($G$19=1,AF32*2,AF32)</f>
        <v>247.4983741354292</v>
      </c>
      <c r="AG39" s="601"/>
      <c r="AH39" s="580">
        <f>IF(AND($G$19=1,$G$25=3),AH32*2*3,IF(AND($G$19=1,OR($G$25=1,$G$25=4)),AH32*2/4,IF(AND($G$19=1,OR($G$25=2,$G$25=0)),AH32*2,IF(AND($G$19&lt;&gt;1,$G$25=3),AH32*3,IF(AND($G$19&lt;&gt;1,OR($G$25=1,$G$25=4)),AH32/4,AH32)))))</f>
        <v>74.917930415198981</v>
      </c>
      <c r="AI39" s="580"/>
      <c r="AJ39" s="600">
        <f>IF($G$19=3,AJ32*2,AJ32)</f>
        <v>263.56962850708237</v>
      </c>
      <c r="AK39" s="601"/>
      <c r="AL39" s="580">
        <f>IF($G$19=1,AL32*2,AL32)</f>
        <v>234.26322347642076</v>
      </c>
      <c r="AM39" s="580"/>
      <c r="AN39" s="600">
        <f>IF(OR($G$25=2,$G$25=4),AN32*0.75,IF(OR($G$25=1,$G$25=3),AN32/4,AN32))</f>
        <v>57.588925701416471</v>
      </c>
      <c r="AO39" s="601"/>
      <c r="AP39" s="580">
        <f>IF(AND($G$19=3,$G$25=1),AP32*2*3,IF(AND($G$19=3,OR($G$25=2,$G$25=3)),AP32*2/4,IF(AND($G$19=3,OR($G$25=4,$G$25=0)),AP32*2,IF(AND($G$19&lt;&gt;3,$G$25=1),AP32*3,IF(AND($G$19&lt;&gt;3,OR($G$25=2,$G$25=3)),AP32/4,AP32)))))</f>
        <v>776.86974981232368</v>
      </c>
      <c r="AQ39" s="580"/>
      <c r="AR39" s="600">
        <f>IF(AND($G$19=3,$G$25=4),AR32*2*3,IF(AND($G$19=3,OR($G$25=1,$G$25=1)),AR32*2/4,IF(AND($G$19=3,OR($G$25=3,$G$25=0)),AR32*2,IF(AND($G$19&lt;&gt;3,$G$25=4),AR32*3,IF(AND($G$19&lt;&gt;3,OR($G$25=1,$G$25=2)),AR32/4,AR32)))))</f>
        <v>63.124579984985886</v>
      </c>
      <c r="AS39" s="601"/>
      <c r="AT39" s="580">
        <f>IF($G$19=4,AT32*2,AT32)</f>
        <v>243.72483013202216</v>
      </c>
      <c r="AU39" s="580"/>
      <c r="AV39" s="600">
        <f>IF(AND($G$19=4,$G$25=2),AV32*2*3,IF(AND($G$19=4,OR($G$25=3,$G$25=4)),AV32*2/4,IF(AND($G$19=4,OR($G$25=1,$G$25=0)),AV32*2,IF(AND($G$19&lt;&gt;4,$G$25=2),AV32*3,IF(AND($G$19&lt;&gt;4,OR($G$25=3,$G$25=4)),AV32/4,AV32)))))</f>
        <v>276.34421531531945</v>
      </c>
      <c r="AW39" s="601"/>
      <c r="AX39" s="580">
        <f>IF(AND($G$19=4,$G$25=3),AX32*2*3,IF(AND($G$19=4,OR($G$25=1,$G$25=4)),AX32*2/4,IF(AND($G$19=4,OR($G$25=2,$G$25=0)),AX32*2,IF(AND($G$19&lt;&gt;4,$G$25=3),AX32*3,IF(AND($G$19&lt;&gt;4,OR($G$25=1,$G$25=4)),AX32/4,AX32)))))</f>
        <v>69.086053828829861</v>
      </c>
      <c r="AY39" s="580"/>
      <c r="AZ39" s="600">
        <f>IF(AND($G$19=4,$G$25=4),AZ32*2*3,IF(AND($G$19=4,OR($G$25=1,$G$25=1)),AZ32*2/4,IF(AND($G$19=4,OR($G$25=3,$G$25=0)),AZ32*2,IF(AND($G$19&lt;&gt;4,$G$25=4),AZ32*3,IF(AND($G$19&lt;&gt;4,OR($G$25=1,$G$25=2)),AZ32/4,AZ32)))))</f>
        <v>69.086053828829861</v>
      </c>
      <c r="BA39" s="601"/>
      <c r="BB39" s="580">
        <f>IF(AND($G$19=4,$G$25=1),BB32*2*3,IF(AND($G$19=4,OR($G$25=2,$G$25=3)),BB32*2/4,IF(AND($G$19=4,OR($G$25=4,$G$25=0)),BB32*2,IF(AND($G$19&lt;&gt;4,$G$25=1),BB32*3,IF(AND($G$19&lt;&gt;4,OR($G$25=2,$G$25=3)),BB32/4,BB32)))))</f>
        <v>829.03264594595839</v>
      </c>
      <c r="BC39" s="580"/>
      <c r="BD39" s="600">
        <f>IF($G$19=2,BD32*2,BD32)</f>
        <v>223.17431346481911</v>
      </c>
      <c r="BE39" s="601"/>
      <c r="BF39" s="580">
        <f>IF(AND($G$19=3,$G$25=4),BF32*2*3,IF(AND($G$19=3,OR($G$25=1,$G$25=1)),BF32*2/4,IF(AND($G$19=3,OR($G$25=3,$G$25=0)),BF32*2,IF(AND($G$19&lt;&gt;3,$G$25=4),BF32*3,IF(AND($G$19&lt;&gt;3,OR($G$25=1,$G$25=2)),BF32/4,BF32)))))</f>
        <v>60.702731235924261</v>
      </c>
      <c r="BG39" s="580"/>
      <c r="BH39" s="600">
        <f>IF($G$25=3,BH32*3,IF(OR($G$25=1,$G$25=4),BH32/4,BH32))</f>
        <v>44.769515781571521</v>
      </c>
      <c r="BI39" s="601"/>
      <c r="BJ39" s="580">
        <f>IF($G$25=4,BJ32*3,IF(OR($G$25=1,$G$25=2),BJ32/4,BJ32))</f>
        <v>46.730526914414931</v>
      </c>
      <c r="BK39" s="580"/>
      <c r="BL39" s="600">
        <f>IF($G$19=2,BL32*2,BL32)</f>
        <v>216.72947687687966</v>
      </c>
      <c r="BM39" s="601"/>
      <c r="BN39" s="580">
        <f>IF(AND($G$19=3,$G$25=1),BN32*2*3,IF(AND($G$19=3,OR($G$25=2,$G$25=3)),BN32*2/4,IF(AND($G$19=3,OR($G$25=2,$G$25=0)),BN32*2,IF(AND($G$19&lt;&gt;3,$G$25=1),BN32*3,IF(AND($G$19&lt;&gt;3,OR($G$25=2,$G$25=3)),BN32/4,BN32)))))</f>
        <v>669.52294039445735</v>
      </c>
      <c r="BO39" s="580"/>
      <c r="BP39" s="600">
        <f>BP32</f>
        <v>247.4983741354292</v>
      </c>
      <c r="BQ39" s="601"/>
      <c r="BR39" s="580">
        <f>IF($G$19=4,BR32*2,BR32)</f>
        <v>160.33715673240957</v>
      </c>
      <c r="BS39" s="580"/>
      <c r="BT39" s="600">
        <f>IF($G$19=1,BT32*2,BT32)</f>
        <v>186.92210765765972</v>
      </c>
      <c r="BU39" s="601"/>
      <c r="BV39" s="580">
        <f>IF($G$19=3,BV32*2,BV32)</f>
        <v>166.90223280892994</v>
      </c>
      <c r="BW39" s="580"/>
      <c r="BX39" s="600">
        <f>IF(AND($G$19=2,$G$25=0),BX32*2,IF(AND($G$19=2,OR($G$25=2,$G$25=4)),BX32*2/4,IF(AND($G$19=2,OR($G$25=1,$G$25=3)),BX32*2*0.75,IF(AND($G$19&lt;&gt;2,OR($G$25=2,$G$25=4)),BX32/4,IF(AND($G$19&lt;&gt;2,OR($G$25=1,$G$25=3)),BX32*0.75,BX32)))))</f>
        <v>117.83605382882988</v>
      </c>
      <c r="BY39" s="601"/>
      <c r="BZ39" s="580">
        <f>IF(AND($G$19=2,$G$25=2),BZ32*2*3,IF(AND($G$19=2,OR($G$25=3,$G$25=4)),BZ32*2/4,IF(AND($G$19=2,OR($G$25=1,$G$25=0)),BZ32*2,IF(AND($G$19&lt;&gt;2,$G$25=2),BZ32*3,IF(AND($G$19&lt;&gt;2,OR($G$25=3,$G$25=4)),BZ32/4,BZ32)))))</f>
        <v>223.17431346481911</v>
      </c>
      <c r="CA39" s="580"/>
      <c r="CB39" s="600">
        <f>IF(AND($G$22=1,OR($G$25=2,$G$25=3)),CB32/2/4,IF(AND($G$22=1,$G$25=1),CB32/2*3,IF(AND($G$22=1,OR($G$25=4,$G$25=0)),CB32/2,IF(AND($G$22=0,OR($G$25=2,$G$25=3)),CB32/4,IF(AND($G$22=0,$G$25=1),CB32*3,CB32)))))</f>
        <v>220.4513233755049</v>
      </c>
      <c r="CC39" s="601"/>
      <c r="CD39" s="580">
        <f>IF(AND($G$19=3,$G$25=4),CD32*2*3,IF(AND($G$19=3,OR($G$25=1,$G$25=1)),CD32*2/4,IF(AND($G$19=3,OR($G$25=3,$G$25=0)),CD32*2,IF(AND($G$19&lt;&gt;3,$G$25=4),CD32*3,IF(AND($G$19&lt;&gt;3,OR($G$25=1,$G$25=2)),CD32/4,CD32)))))</f>
        <v>33.903585242209644</v>
      </c>
      <c r="CE39" s="580"/>
      <c r="CF39" s="600">
        <f>IF($G$19=1,CF32*2,CF32)</f>
        <v>252.49831993994354</v>
      </c>
      <c r="CG39" s="601"/>
      <c r="CH39" s="580">
        <f>IF($G$25=2,CH32*3,IF(OR($G$25=3,$G$25=4),CH32/4,CH32))</f>
        <v>241.01696290735512</v>
      </c>
      <c r="CI39" s="580"/>
      <c r="CJ39" s="600">
        <f>IF(AND($G$19=1,$G$25=1),CJ32*2*3,IF(AND($G$19=1,OR($G$25=2,$G$25=3)),CJ32*2/4,IF(AND($G$19=1,OR($G$25=4,$G$25=0)),CJ32*2,IF(AND($G$19&lt;&gt;1,$G$25=1),CJ32*3,IF(AND($G$19&lt;&gt;1,OR($G$25=2,$G$25=3)),CJ32/4,CJ32)))))</f>
        <v>759.05012690952913</v>
      </c>
      <c r="CK39" s="601"/>
      <c r="CL39" s="580">
        <f>IF(AND($G$19=2,$G$25=4),CL32*2*3,IF(AND($G$19=2,OR($G$25=1,$G$25=1)),CL32*2/4,IF(AND($G$19=2,OR($G$25=3,$G$25=0)),CL32*2,IF(AND($G$19&lt;&gt;2,$G$25=4),CL32*3,IF(AND($G$19&lt;&gt;2,OR($G$25=1,$G$25=2)),CL32/4,CL32)))))</f>
        <v>61.279361890462745</v>
      </c>
      <c r="CM39" s="580"/>
      <c r="CN39" s="600">
        <f t="shared" si="2"/>
        <v>126.20339258147102</v>
      </c>
      <c r="CO39" s="601"/>
      <c r="CP39" s="580">
        <f t="shared" si="2"/>
        <v>301.44515781571516</v>
      </c>
      <c r="CQ39" s="580"/>
      <c r="CR39" s="600">
        <f t="shared" si="2"/>
        <v>102.04985283581048</v>
      </c>
      <c r="CS39" s="601"/>
    </row>
    <row r="40" spans="4:97">
      <c r="D40" s="598"/>
      <c r="G40" t="s">
        <v>756</v>
      </c>
      <c r="H40" s="603">
        <f>H33</f>
        <v>402.02385195128039</v>
      </c>
      <c r="I40" s="604"/>
      <c r="J40" s="605">
        <f>J33</f>
        <v>402.02385195128039</v>
      </c>
      <c r="K40" s="605"/>
      <c r="L40" s="603">
        <f>IF($G$19=1,L33*2,L33)</f>
        <v>401.40555498742617</v>
      </c>
      <c r="M40" s="604"/>
      <c r="N40" s="605">
        <f>N33</f>
        <v>398.95996967503845</v>
      </c>
      <c r="O40" s="605"/>
      <c r="P40" s="603">
        <f>IF($G$19=1,P33*2,P33)</f>
        <v>394.19751406670446</v>
      </c>
      <c r="Q40" s="604"/>
      <c r="R40" s="605">
        <f>R33</f>
        <v>391.30491630025432</v>
      </c>
      <c r="S40" s="605"/>
      <c r="T40" s="603">
        <f>T33</f>
        <v>401.40555498742617</v>
      </c>
      <c r="U40" s="604"/>
      <c r="V40" s="605">
        <f>IF($G$19=2,V33*2,V33)</f>
        <v>379.81134110874945</v>
      </c>
      <c r="W40" s="605"/>
      <c r="X40" s="603">
        <f>IF($G$19=1,X33*2,X33)</f>
        <v>395.37239298329786</v>
      </c>
      <c r="Y40" s="604"/>
      <c r="Z40" s="605">
        <f>IF($G$19=1,Z33*2,Z33)</f>
        <v>370.72813282883442</v>
      </c>
      <c r="AA40" s="605"/>
      <c r="AB40" s="603">
        <f>IF(AND($G$22=1,OR($G$25=1,$G$25=2)),AB33/2/4,IF(AND($G$22=1,$G$25=4),AB33/2*3,IF(AND($G$22=1,OR($G$25=3,$G$25=0)),AB33/2,IF(AND($G$22=0,OR($G$25=1,$G$25=2)),AB33/4,IF(AND($G$22=0,$G$25=4),AB33*3,AB33)))))</f>
        <v>34.03483131166923</v>
      </c>
      <c r="AC40" s="604"/>
      <c r="AD40" s="605">
        <f>IF($G$25=2,AD33*3,IF(OR($G$25=3,$G$25=4),AD33/4,AD33))</f>
        <v>368.31993349389552</v>
      </c>
      <c r="AE40" s="605"/>
      <c r="AF40" s="603">
        <f>IF($G$19=1,AF33*2,AF33)</f>
        <v>323.65172002325357</v>
      </c>
      <c r="AG40" s="604"/>
      <c r="AH40" s="605">
        <f>IF(AND($G$19=1,$G$25=3),AH33*2*3,IF(AND($G$19=1,OR($G$25=1,$G$25=4)),AH33*2/4,IF(AND($G$19=1,OR($G$25=2,$G$25=0)),AH33*2,IF(AND($G$19&lt;&gt;1,$G$25=3),AH33*3,IF(AND($G$19&lt;&gt;1,OR($G$25=1,$G$25=4)),AH33/4,AH33)))))</f>
        <v>97.969601312183272</v>
      </c>
      <c r="AI40" s="605"/>
      <c r="AJ40" s="603">
        <f>IF($G$19=3,AJ33*2,AJ33)</f>
        <v>344.66797574003073</v>
      </c>
      <c r="AK40" s="604"/>
      <c r="AL40" s="605">
        <f>IF($G$19=1,AL33*2,AL33)</f>
        <v>306.34421531531945</v>
      </c>
      <c r="AM40" s="605"/>
      <c r="AN40" s="603">
        <f>IF(OR($G$25=2,$G$25=4),AN33*0.75,IF(OR($G$25=1,$G$25=3),AN33/4,AN33))</f>
        <v>75.308595148006148</v>
      </c>
      <c r="AO40" s="604"/>
      <c r="AP40" s="605">
        <f>IF(AND($G$19=3,$G$25=1),AP33*2*3,IF(AND($G$19=3,OR($G$25=2,$G$25=3)),AP33*2/4,IF(AND($G$19=3,OR($G$25=4,$G$25=0)),AP33*2,IF(AND($G$19&lt;&gt;3,$G$25=1),AP33*3,IF(AND($G$19&lt;&gt;3,OR($G$25=2,$G$25=3)),AP33/4,AP33)))))</f>
        <v>1015.906595908423</v>
      </c>
      <c r="AQ40" s="605"/>
      <c r="AR40" s="603">
        <f>IF(AND($G$19=3,$G$25=4),AR33*2*3,IF(AND($G$19=3,OR($G$25=1,$G$25=1)),AR33*2/4,IF(AND($G$19=3,OR($G$25=3,$G$25=0)),AR33*2,IF(AND($G$19&lt;&gt;3,$G$25=4),AR33*3,IF(AND($G$19&lt;&gt;3,OR($G$25=1,$G$25=2)),AR33/4,AR33)))))</f>
        <v>82.547527672673837</v>
      </c>
      <c r="AS40" s="604"/>
      <c r="AT40" s="605">
        <f>IF($G$19=4,AT33*2,AT33)</f>
        <v>318.71708555725974</v>
      </c>
      <c r="AU40" s="605"/>
      <c r="AV40" s="603">
        <f>IF(AND($G$19=4,$G$25=2),AV33*2*3,IF(AND($G$19=4,OR($G$25=3,$G$25=4)),AV33*2/4,IF(AND($G$19=4,OR($G$25=1,$G$25=0)),AV33*2,IF(AND($G$19&lt;&gt;4,$G$25=2),AV33*3,IF(AND($G$19&lt;&gt;4,OR($G$25=3,$G$25=4)),AV33/4,AV33)))))</f>
        <v>361.37320464311006</v>
      </c>
      <c r="AW40" s="604"/>
      <c r="AX40" s="605">
        <f>IF(AND($G$19=4,$G$25=3),AX33*2*3,IF(AND($G$19=4,OR($G$25=1,$G$25=4)),AX33*2/4,IF(AND($G$19=4,OR($G$25=2,$G$25=0)),AX33*2,IF(AND($G$19&lt;&gt;4,$G$25=3),AX33*3,IF(AND($G$19&lt;&gt;4,OR($G$25=1,$G$25=4)),AX33/4,AX33)))))</f>
        <v>90.343301160777514</v>
      </c>
      <c r="AY40" s="605"/>
      <c r="AZ40" s="603">
        <f>IF(AND($G$19=4,$G$25=4),AZ33*2*3,IF(AND($G$19=4,OR($G$25=1,$G$25=1)),AZ33*2/4,IF(AND($G$19=4,OR($G$25=3,$G$25=0)),AZ33*2,IF(AND($G$19&lt;&gt;4,$G$25=4),AZ33*3,IF(AND($G$19&lt;&gt;4,OR($G$25=1,$G$25=2)),AZ33/4,AZ33)))))</f>
        <v>90.343301160777514</v>
      </c>
      <c r="BA40" s="604"/>
      <c r="BB40" s="605">
        <f>IF(AND($G$19=4,$G$25=1),BB33*2*3,IF(AND($G$19=4,OR($G$25=2,$G$25=3)),BB33*2/4,IF(AND($G$19=4,OR($G$25=4,$G$25=0)),BB33*2,IF(AND($G$19&lt;&gt;4,$G$25=1),BB33*3,IF(AND($G$19&lt;&gt;4,OR($G$25=2,$G$25=3)),BB33/4,BB33)))))</f>
        <v>1084.1196139293302</v>
      </c>
      <c r="BC40" s="605"/>
      <c r="BD40" s="603">
        <f>IF($G$19=2,BD33*2,BD33)</f>
        <v>291.84333299245571</v>
      </c>
      <c r="BE40" s="604"/>
      <c r="BF40" s="605">
        <f>IF(AND($G$19=3,$G$25=4),BF33*2*3,IF(AND($G$19=3,OR($G$25=1,$G$25=1)),BF33*2/4,IF(AND($G$19=3,OR($G$25=3,$G$25=0)),BF33*2,IF(AND($G$19&lt;&gt;3,$G$25=4),BF33*3,IF(AND($G$19&lt;&gt;3,OR($G$25=1,$G$25=2)),BF33/4,BF33)))))</f>
        <v>79.380494693131723</v>
      </c>
      <c r="BG40" s="605"/>
      <c r="BH40" s="603">
        <f>IF($G$25=3,BH33*3,IF(OR($G$25=1,$G$25=4),BH33/4,BH33))</f>
        <v>58.54475140667045</v>
      </c>
      <c r="BI40" s="604"/>
      <c r="BJ40" s="605">
        <f>IF($G$25=4,BJ33*3,IF(OR($G$25=1,$G$25=2),BJ33/4,BJ33))</f>
        <v>61.109150580388757</v>
      </c>
      <c r="BK40" s="605"/>
      <c r="BL40" s="603">
        <f>IF($G$19=2,BL33*2,BL33)</f>
        <v>283.41546976207337</v>
      </c>
      <c r="BM40" s="604"/>
      <c r="BN40" s="605">
        <f>IF(AND($G$19=3,$G$25=1),BN33*2*3,IF(AND($G$19=3,OR($G$25=2,$G$25=3)),BN33*2/4,IF(AND($G$19=3,OR($G$25=2,$G$25=0)),BN33*2,IF(AND($G$19&lt;&gt;3,$G$25=1),BN33*3,IF(AND($G$19&lt;&gt;3,OR($G$25=2,$G$25=3)),BN33/4,BN33)))))</f>
        <v>875.52999897736709</v>
      </c>
      <c r="BO40" s="605"/>
      <c r="BP40" s="603">
        <f>BP33</f>
        <v>323.65172002325357</v>
      </c>
      <c r="BQ40" s="604"/>
      <c r="BR40" s="605">
        <f>IF($G$19=4,BR33*2,BR33)</f>
        <v>209.67166649622786</v>
      </c>
      <c r="BS40" s="605"/>
      <c r="BT40" s="603">
        <f>IF($G$19=1,BT33*2,BT33)</f>
        <v>244.43660232155503</v>
      </c>
      <c r="BU40" s="604"/>
      <c r="BV40" s="605">
        <f>IF($G$19=3,BV33*2,BV33)</f>
        <v>218.25676598090834</v>
      </c>
      <c r="BW40" s="605"/>
      <c r="BX40" s="603">
        <f>IF(AND($G$19=2,$G$25=0),BX33*2,IF(AND($G$19=2,OR($G$25=2,$G$25=4)),BX33*2/4,IF(AND($G$19=2,OR($G$25=1,$G$25=3)),BX33*2*0.75,IF(AND($G$19&lt;&gt;2,OR($G$25=2,$G$25=4)),BX33/4,IF(AND($G$19&lt;&gt;2,OR($G$25=1,$G$25=3)),BX33*0.75,BX33)))))</f>
        <v>154.09330116077751</v>
      </c>
      <c r="BY40" s="604"/>
      <c r="BZ40" s="605">
        <f>IF(AND($G$19=2,$G$25=2),BZ33*2*3,IF(AND($G$19=2,OR($G$25=3,$G$25=4)),BZ33*2/4,IF(AND($G$19=2,OR($G$25=1,$G$25=0)),BZ33*2,IF(AND($G$19&lt;&gt;2,$G$25=2),BZ33*3,IF(AND($G$19&lt;&gt;2,OR($G$25=3,$G$25=4)),BZ33/4,BZ33)))))</f>
        <v>291.84333299245571</v>
      </c>
      <c r="CA40" s="605"/>
      <c r="CB40" s="603">
        <f>IF(AND($G$22=1,OR($G$25=2,$G$25=3)),CB33/2/4,IF(AND($G$22=1,$G$25=1),CB33/2*3,IF(AND($G$22=1,OR($G$25=4,$G$25=0)),CB33/2,IF(AND($G$22=0,OR($G$25=2,$G$25=3)),CB33/4,IF(AND($G$22=0,$G$25=1),CB33*3,CB33)))))</f>
        <v>288.28249979873715</v>
      </c>
      <c r="CC40" s="604"/>
      <c r="CD40" s="605">
        <f>IF(AND($G$19=3,$G$25=4),CD33*2*3,IF(AND($G$19=3,OR($G$25=1,$G$25=1)),CD33*2/4,IF(AND($G$19=3,OR($G$25=3,$G$25=0)),CD33*2,IF(AND($G$19&lt;&gt;3,$G$25=4),CD33*3,IF(AND($G$19&lt;&gt;3,OR($G$25=1,$G$25=2)),CD33/4,CD33)))))</f>
        <v>44.335457624427995</v>
      </c>
      <c r="CE40" s="605"/>
      <c r="CF40" s="603">
        <f>IF($G$19=1,CF33*2,CF33)</f>
        <v>330.19011069069535</v>
      </c>
      <c r="CG40" s="604"/>
      <c r="CH40" s="605">
        <f>IF($G$25=2,CH33*3,IF(OR($G$25=3,$G$25=4),CH33/4,CH33))</f>
        <v>315.17602841731053</v>
      </c>
      <c r="CI40" s="605"/>
      <c r="CJ40" s="603">
        <f>IF(AND($G$19=1,$G$25=1),CJ33*2*3,IF(AND($G$19=1,OR($G$25=2,$G$25=3)),CJ33*2/4,IF(AND($G$19=1,OR($G$25=4,$G$25=0)),CJ33*2,IF(AND($G$19&lt;&gt;1,$G$25=1),CJ33*3,IF(AND($G$19&lt;&gt;1,OR($G$25=2,$G$25=3)),CJ33/4,CJ33)))))</f>
        <v>992.60401211246108</v>
      </c>
      <c r="CK40" s="604"/>
      <c r="CL40" s="605">
        <f>IF(AND($G$19=2,$G$25=4),CL33*2*3,IF(AND($G$19=2,OR($G$25=1,$G$25=1)),CL33*2/4,IF(AND($G$19=2,OR($G$25=3,$G$25=0)),CL33*2,IF(AND($G$19&lt;&gt;2,$G$25=4),CL33*3,IF(AND($G$19&lt;&gt;2,OR($G$25=1,$G$25=2)),CL33/4,CL33)))))</f>
        <v>80.134550164451284</v>
      </c>
      <c r="CM40" s="605"/>
      <c r="CN40" s="603">
        <f t="shared" si="2"/>
        <v>165.0352056834621</v>
      </c>
      <c r="CO40" s="604"/>
      <c r="CP40" s="605">
        <f t="shared" si="2"/>
        <v>394.19751406670446</v>
      </c>
      <c r="CQ40" s="605"/>
      <c r="CR40" s="603">
        <f t="shared" si="2"/>
        <v>133.44980755452139</v>
      </c>
      <c r="CS40" s="604"/>
    </row>
    <row r="41" spans="4:97">
      <c r="H41" s="365"/>
      <c r="I41" s="365"/>
      <c r="J41" s="365"/>
      <c r="K41" s="365"/>
      <c r="L41" s="365"/>
      <c r="M41" s="365"/>
      <c r="N41" s="365"/>
      <c r="O41" s="365"/>
      <c r="P41" s="365"/>
      <c r="Q41" s="365"/>
      <c r="R41" s="365"/>
      <c r="S41" s="365"/>
      <c r="T41" s="365"/>
      <c r="U41" s="365"/>
      <c r="V41" s="365"/>
      <c r="W41" s="365"/>
      <c r="X41" s="365"/>
      <c r="Y41" s="365"/>
      <c r="Z41" s="365"/>
      <c r="AA41" s="365"/>
      <c r="AB41" s="365"/>
      <c r="AC41" s="365"/>
      <c r="AD41" s="365"/>
      <c r="AE41" s="365"/>
      <c r="AF41" s="365"/>
      <c r="AG41" s="365"/>
      <c r="AH41" s="365"/>
      <c r="AI41" s="365"/>
      <c r="AJ41" s="365"/>
      <c r="AK41" s="365"/>
      <c r="AL41" s="365"/>
      <c r="AM41" s="365"/>
      <c r="AN41" s="365"/>
      <c r="AO41" s="365"/>
      <c r="AP41" s="365"/>
      <c r="AQ41" s="365"/>
      <c r="AR41" s="365"/>
      <c r="AS41" s="365"/>
      <c r="AT41" s="365"/>
      <c r="AU41" s="365"/>
      <c r="AV41" s="365"/>
      <c r="AW41" s="365"/>
      <c r="AX41" s="365"/>
      <c r="AY41" s="365"/>
      <c r="AZ41" s="365"/>
      <c r="BA41" s="365"/>
      <c r="BB41" s="365"/>
      <c r="BC41" s="365"/>
      <c r="BD41" s="365"/>
      <c r="BE41" s="365"/>
      <c r="BF41" s="365"/>
      <c r="BG41" s="365"/>
      <c r="BH41" s="365"/>
      <c r="BI41" s="365"/>
      <c r="BJ41" s="365"/>
      <c r="BK41" s="365"/>
      <c r="BL41" s="365"/>
      <c r="BM41" s="365"/>
      <c r="BN41" s="365"/>
      <c r="BO41" s="365"/>
      <c r="BP41" s="365"/>
      <c r="BQ41" s="365"/>
      <c r="BR41" s="365"/>
      <c r="BS41" s="365"/>
      <c r="BT41" s="365"/>
      <c r="BU41" s="365"/>
      <c r="BV41" s="365"/>
      <c r="BW41" s="365"/>
      <c r="BX41" s="365"/>
      <c r="BY41" s="365"/>
      <c r="BZ41" s="365"/>
      <c r="CA41" s="365"/>
      <c r="CB41" s="365"/>
      <c r="CC41" s="365"/>
      <c r="CD41" s="365"/>
      <c r="CE41" s="365"/>
      <c r="CF41" s="365"/>
      <c r="CG41" s="365"/>
      <c r="CH41" s="365"/>
      <c r="CI41" s="365"/>
      <c r="CJ41" s="365"/>
      <c r="CK41" s="365"/>
      <c r="CL41" s="365"/>
      <c r="CM41" s="365"/>
      <c r="CN41" s="365"/>
      <c r="CO41" s="365"/>
      <c r="CP41" s="365"/>
      <c r="CQ41" s="365"/>
      <c r="CR41" s="365"/>
      <c r="CS41" s="365"/>
    </row>
    <row r="43" spans="4:97" ht="15" customHeight="1">
      <c r="D43" s="566" t="s">
        <v>782</v>
      </c>
      <c r="H43" s="567" t="s">
        <v>33</v>
      </c>
      <c r="I43" s="568"/>
      <c r="J43" s="569" t="s">
        <v>37</v>
      </c>
      <c r="K43" s="569"/>
      <c r="L43" s="567" t="s">
        <v>35</v>
      </c>
      <c r="M43" s="568"/>
      <c r="N43" s="569" t="s">
        <v>36</v>
      </c>
      <c r="O43" s="569"/>
      <c r="P43" s="567" t="s">
        <v>393</v>
      </c>
      <c r="Q43" s="568"/>
      <c r="R43" s="569" t="s">
        <v>38</v>
      </c>
      <c r="S43" s="569"/>
      <c r="T43" s="567" t="s">
        <v>560</v>
      </c>
      <c r="U43" s="568"/>
      <c r="V43" s="569" t="s">
        <v>394</v>
      </c>
      <c r="W43" s="569"/>
      <c r="X43" s="567" t="s">
        <v>764</v>
      </c>
      <c r="Y43" s="568"/>
      <c r="Z43" s="569" t="s">
        <v>39</v>
      </c>
      <c r="AA43" s="569"/>
      <c r="AB43" s="567" t="s">
        <v>765</v>
      </c>
      <c r="AC43" s="568"/>
      <c r="AD43" s="569" t="s">
        <v>766</v>
      </c>
      <c r="AE43" s="569"/>
      <c r="AF43" s="567" t="s">
        <v>40</v>
      </c>
      <c r="AG43" s="568"/>
      <c r="AH43" s="569" t="s">
        <v>555</v>
      </c>
      <c r="AI43" s="569"/>
      <c r="AJ43" s="567" t="s">
        <v>41</v>
      </c>
      <c r="AK43" s="568"/>
      <c r="AL43" s="569" t="s">
        <v>42</v>
      </c>
      <c r="AM43" s="569"/>
      <c r="AN43" s="567" t="s">
        <v>578</v>
      </c>
      <c r="AO43" s="568"/>
      <c r="AP43" s="569" t="s">
        <v>43</v>
      </c>
      <c r="AQ43" s="569"/>
      <c r="AR43" s="567" t="s">
        <v>554</v>
      </c>
      <c r="AS43" s="568"/>
      <c r="AT43" s="569" t="s">
        <v>44</v>
      </c>
      <c r="AU43" s="569"/>
      <c r="AV43" s="567" t="s">
        <v>769</v>
      </c>
      <c r="AW43" s="568"/>
      <c r="AX43" s="569" t="s">
        <v>770</v>
      </c>
      <c r="AY43" s="569"/>
      <c r="AZ43" s="567" t="s">
        <v>771</v>
      </c>
      <c r="BA43" s="568"/>
      <c r="BB43" s="569" t="s">
        <v>772</v>
      </c>
      <c r="BC43" s="569"/>
      <c r="BD43" s="567" t="s">
        <v>45</v>
      </c>
      <c r="BE43" s="568"/>
      <c r="BF43" s="569" t="s">
        <v>767</v>
      </c>
      <c r="BG43" s="569"/>
      <c r="BH43" s="567" t="s">
        <v>46</v>
      </c>
      <c r="BI43" s="568"/>
      <c r="BJ43" s="569" t="s">
        <v>47</v>
      </c>
      <c r="BK43" s="569"/>
      <c r="BL43" s="567" t="s">
        <v>48</v>
      </c>
      <c r="BM43" s="568"/>
      <c r="BN43" s="569" t="s">
        <v>558</v>
      </c>
      <c r="BO43" s="569"/>
      <c r="BP43" s="567" t="s">
        <v>583</v>
      </c>
      <c r="BQ43" s="568"/>
      <c r="BR43" s="569" t="s">
        <v>51</v>
      </c>
      <c r="BS43" s="569"/>
      <c r="BT43" s="567" t="s">
        <v>556</v>
      </c>
      <c r="BU43" s="568"/>
      <c r="BV43" s="569" t="s">
        <v>49</v>
      </c>
      <c r="BW43" s="569"/>
      <c r="BX43" s="567" t="s">
        <v>553</v>
      </c>
      <c r="BY43" s="568"/>
      <c r="BZ43" s="569" t="s">
        <v>57</v>
      </c>
      <c r="CA43" s="569"/>
      <c r="CB43" s="567" t="s">
        <v>50</v>
      </c>
      <c r="CC43" s="568"/>
      <c r="CD43" s="569" t="s">
        <v>606</v>
      </c>
      <c r="CE43" s="569"/>
      <c r="CF43" s="567" t="s">
        <v>607</v>
      </c>
      <c r="CG43" s="568"/>
      <c r="CH43" s="569" t="s">
        <v>52</v>
      </c>
      <c r="CI43" s="569"/>
      <c r="CJ43" s="567" t="s">
        <v>53</v>
      </c>
      <c r="CK43" s="568"/>
      <c r="CL43" s="569" t="s">
        <v>54</v>
      </c>
      <c r="CM43" s="569"/>
      <c r="CN43" s="567" t="s">
        <v>55</v>
      </c>
      <c r="CO43" s="568"/>
      <c r="CP43" s="569" t="s">
        <v>616</v>
      </c>
      <c r="CQ43" s="569"/>
      <c r="CR43" s="567" t="s">
        <v>617</v>
      </c>
      <c r="CS43" s="568"/>
    </row>
    <row r="44" spans="4:97">
      <c r="D44" s="566"/>
      <c r="G44" t="s">
        <v>753</v>
      </c>
      <c r="H44" s="578">
        <f>H37/H$80</f>
        <v>12.612513002393113</v>
      </c>
      <c r="I44" s="579"/>
      <c r="J44" s="577">
        <f>J37/J$80</f>
        <v>12.612513002393113</v>
      </c>
      <c r="K44" s="577"/>
      <c r="L44" s="578">
        <f>L37/L$80</f>
        <v>3.7779346351757761</v>
      </c>
      <c r="M44" s="579"/>
      <c r="N44" s="577">
        <f>N37/N$80</f>
        <v>18.774586808237107</v>
      </c>
      <c r="O44" s="577"/>
      <c r="P44" s="578">
        <f>P37/P$80</f>
        <v>1.545872604183155</v>
      </c>
      <c r="Q44" s="579"/>
      <c r="R44" s="577">
        <f>R37/R$80</f>
        <v>1.4164883847973007</v>
      </c>
      <c r="S44" s="577"/>
      <c r="T44" s="578">
        <f>T37/T$80</f>
        <v>3.7779346351757761</v>
      </c>
      <c r="U44" s="579"/>
      <c r="V44" s="577">
        <f>V37/V$80</f>
        <v>1.1915649917137239</v>
      </c>
      <c r="W44" s="577"/>
      <c r="X44" s="578">
        <f>X37/X$80</f>
        <v>1.6914326972547504</v>
      </c>
      <c r="Y44" s="579"/>
      <c r="Z44" s="577">
        <f>Z37/Z$80</f>
        <v>0.38768955067067662</v>
      </c>
      <c r="AA44" s="577"/>
      <c r="AB44" s="578">
        <f>AB37/AB$80</f>
        <v>3.2032782410982806E-3</v>
      </c>
      <c r="AC44" s="579"/>
      <c r="AD44" s="577">
        <f>AD37/AD$80</f>
        <v>0.25303215697304976</v>
      </c>
      <c r="AE44" s="577"/>
      <c r="AF44" s="578">
        <f>AF37/AF$80</f>
        <v>0.10879049412546339</v>
      </c>
      <c r="AG44" s="579"/>
      <c r="AH44" s="577">
        <f>AH37/AH$80</f>
        <v>0.38419451494973839</v>
      </c>
      <c r="AI44" s="577"/>
      <c r="AJ44" s="578">
        <f>AJ37/AJ$80</f>
        <v>0.16983947064491814</v>
      </c>
      <c r="AK44" s="579"/>
      <c r="AL44" s="577">
        <f>AL37/AL$80</f>
        <v>0.13729712731218799</v>
      </c>
      <c r="AM44" s="577"/>
      <c r="AN44" s="578">
        <f>AN37/AN$80</f>
        <v>1.968852160732187E-2</v>
      </c>
      <c r="AO44" s="579"/>
      <c r="AP44" s="577">
        <f>AP37/AP$80</f>
        <v>0.36633999401701084</v>
      </c>
      <c r="AQ44" s="577"/>
      <c r="AR44" s="578">
        <f>AR37/AR$80</f>
        <v>3.6996090833691361E-2</v>
      </c>
      <c r="AS44" s="579"/>
      <c r="AT44" s="577">
        <f>AT37/AT$80</f>
        <v>0.1578784324741844</v>
      </c>
      <c r="AU44" s="577"/>
      <c r="AV44" s="578">
        <f>AV37/AV$80</f>
        <v>0.28342996442596868</v>
      </c>
      <c r="AW44" s="579"/>
      <c r="AX44" s="577">
        <f>AX37/AX$80</f>
        <v>7.0857491106492171E-2</v>
      </c>
      <c r="AY44" s="577"/>
      <c r="AZ44" s="578">
        <f>AZ37/AZ$80</f>
        <v>7.0857491106492171E-2</v>
      </c>
      <c r="BA44" s="579"/>
      <c r="BB44" s="577">
        <f>BB37/BB$80</f>
        <v>0.85028989327790616</v>
      </c>
      <c r="BC44" s="577"/>
      <c r="BD44" s="578">
        <f>BD37/BD$80</f>
        <v>0.18311738540703107</v>
      </c>
      <c r="BE44" s="579"/>
      <c r="BF44" s="577">
        <f>BF37/BF$80</f>
        <v>4.7891701172326835E-2</v>
      </c>
      <c r="BG44" s="577"/>
      <c r="BH44" s="578">
        <f>BH37/BH$80</f>
        <v>5.5100942500395716E-3</v>
      </c>
      <c r="BI44" s="579"/>
      <c r="BJ44" s="577">
        <f>BJ37/BJ$80</f>
        <v>8.9866397912336422E-3</v>
      </c>
      <c r="BK44" s="577"/>
      <c r="BL44" s="578">
        <f>BL37/BL$80</f>
        <v>4.3728519924717206E-2</v>
      </c>
      <c r="BM44" s="579"/>
      <c r="BN44" s="577">
        <f>BN37/BN$80</f>
        <v>0.12875441161431872</v>
      </c>
      <c r="BO44" s="577"/>
      <c r="BP44" s="578">
        <f>BP37/BP$80</f>
        <v>5.8579496836787981E-2</v>
      </c>
      <c r="BQ44" s="579"/>
      <c r="BR44" s="577">
        <f>BR37/BR$80</f>
        <v>2.1449786853834054E-2</v>
      </c>
      <c r="BS44" s="577"/>
      <c r="BT44" s="578">
        <f>BT37/BT$80</f>
        <v>4.1081781902782361E-2</v>
      </c>
      <c r="BU44" s="579"/>
      <c r="BV44" s="577">
        <f>BV37/BV$80</f>
        <v>1.5329711394620429E-2</v>
      </c>
      <c r="BW44" s="577"/>
      <c r="BX44" s="578">
        <f>BX37/BX$80</f>
        <v>1.1330389791233641E-2</v>
      </c>
      <c r="BY44" s="579"/>
      <c r="BZ44" s="577">
        <f>BZ37/BZ$80</f>
        <v>0.17167254881909164</v>
      </c>
      <c r="CA44" s="577"/>
      <c r="CB44" s="578">
        <f>CB37/CB$80</f>
        <v>1.9107373640347119E-2</v>
      </c>
      <c r="CC44" s="579"/>
      <c r="CD44" s="577">
        <f>CD37/CD$80</f>
        <v>1.2272791037903942E-3</v>
      </c>
      <c r="CE44" s="577"/>
      <c r="CF44" s="578">
        <f>CF37/CF$80</f>
        <v>0.15538358150150372</v>
      </c>
      <c r="CG44" s="579"/>
      <c r="CH44" s="577">
        <f>CH37/CH$80</f>
        <v>0.15290528971124831</v>
      </c>
      <c r="CI44" s="577"/>
      <c r="CJ44" s="578">
        <f>CJ37/CJ$80</f>
        <v>0.55608067905460001</v>
      </c>
      <c r="CK44" s="579"/>
      <c r="CL44" s="577">
        <f>CL37/CL$80</f>
        <v>1.8855188273988539E-2</v>
      </c>
      <c r="CM44" s="577"/>
      <c r="CN44" s="578">
        <f>CN37/CN$80</f>
        <v>7.3965358289506834E-3</v>
      </c>
      <c r="CO44" s="579"/>
      <c r="CP44" s="577">
        <f>CP37/CP$80</f>
        <v>2.3188089062747324</v>
      </c>
      <c r="CQ44" s="577"/>
      <c r="CR44" s="578">
        <f>CR37/CR$80</f>
        <v>6.2799909437421836E-4</v>
      </c>
      <c r="CS44" s="579"/>
    </row>
    <row r="45" spans="4:97">
      <c r="D45" s="566"/>
      <c r="G45" t="s">
        <v>754</v>
      </c>
      <c r="H45" s="578">
        <f>H38/H$80</f>
        <v>18.918769503589665</v>
      </c>
      <c r="I45" s="579"/>
      <c r="J45" s="577">
        <f>J38/J$80</f>
        <v>18.918769503589665</v>
      </c>
      <c r="K45" s="577"/>
      <c r="L45" s="578">
        <f>L38/L$80</f>
        <v>5.6669019527636637</v>
      </c>
      <c r="M45" s="579"/>
      <c r="N45" s="577">
        <f>N38/N$80</f>
        <v>28.161880212355658</v>
      </c>
      <c r="O45" s="577"/>
      <c r="P45" s="578">
        <f>P38/P$80</f>
        <v>2.3188089062747319</v>
      </c>
      <c r="Q45" s="579"/>
      <c r="R45" s="577">
        <f>R38/R$80</f>
        <v>2.1247325771959509</v>
      </c>
      <c r="S45" s="577"/>
      <c r="T45" s="578">
        <f>T38/T$80</f>
        <v>5.6669019527636637</v>
      </c>
      <c r="U45" s="579"/>
      <c r="V45" s="577">
        <f>V38/V$80</f>
        <v>1.7873474875705855</v>
      </c>
      <c r="W45" s="577"/>
      <c r="X45" s="578">
        <f>X38/X$80</f>
        <v>2.5371490458821251</v>
      </c>
      <c r="Y45" s="579"/>
      <c r="Z45" s="577">
        <f>Z38/Z$80</f>
        <v>0.58153432600601473</v>
      </c>
      <c r="AA45" s="577"/>
      <c r="AB45" s="578">
        <f>AB38/AB$80</f>
        <v>4.8049173616474209E-3</v>
      </c>
      <c r="AC45" s="579"/>
      <c r="AD45" s="577">
        <f>AD38/AD$80</f>
        <v>0.37954823545957456</v>
      </c>
      <c r="AE45" s="577"/>
      <c r="AF45" s="578">
        <f>AF38/AF$80</f>
        <v>0.16318574118819507</v>
      </c>
      <c r="AG45" s="579"/>
      <c r="AH45" s="577">
        <f>AH38/AH$80</f>
        <v>0.5762917724246075</v>
      </c>
      <c r="AI45" s="577"/>
      <c r="AJ45" s="578">
        <f>AJ38/AJ$80</f>
        <v>0.25475920596737722</v>
      </c>
      <c r="AK45" s="579"/>
      <c r="AL45" s="577">
        <f>AL38/AL$80</f>
        <v>0.20594569096828197</v>
      </c>
      <c r="AM45" s="577"/>
      <c r="AN45" s="578">
        <f>AN38/AN$80</f>
        <v>2.9532782410982804E-2</v>
      </c>
      <c r="AO45" s="579"/>
      <c r="AP45" s="577">
        <f>AP38/AP$80</f>
        <v>0.54950999102551623</v>
      </c>
      <c r="AQ45" s="577"/>
      <c r="AR45" s="578">
        <f>AR38/AR$80</f>
        <v>5.5494136250537035E-2</v>
      </c>
      <c r="AS45" s="579"/>
      <c r="AT45" s="577">
        <f>AT38/AT$80</f>
        <v>0.23681764871127661</v>
      </c>
      <c r="AU45" s="577"/>
      <c r="AV45" s="578">
        <f>AV38/AV$80</f>
        <v>0.42514494663895297</v>
      </c>
      <c r="AW45" s="579"/>
      <c r="AX45" s="577">
        <f>AX38/AX$80</f>
        <v>0.10628623665973824</v>
      </c>
      <c r="AY45" s="577"/>
      <c r="AZ45" s="578">
        <f>AZ38/AZ$80</f>
        <v>0.10628623665973824</v>
      </c>
      <c r="BA45" s="579"/>
      <c r="BB45" s="577">
        <f>BB38/BB$80</f>
        <v>1.2754348399168589</v>
      </c>
      <c r="BC45" s="577"/>
      <c r="BD45" s="578">
        <f>BD38/BD$80</f>
        <v>0.27467607811054656</v>
      </c>
      <c r="BE45" s="579"/>
      <c r="BF45" s="577">
        <f>BF38/BF$80</f>
        <v>7.1837551758490242E-2</v>
      </c>
      <c r="BG45" s="577"/>
      <c r="BH45" s="578">
        <f>BH38/BH$80</f>
        <v>8.265141375059357E-3</v>
      </c>
      <c r="BI45" s="579"/>
      <c r="BJ45" s="577">
        <f>BJ38/BJ$80</f>
        <v>1.347995968685046E-2</v>
      </c>
      <c r="BK45" s="577"/>
      <c r="BL45" s="578">
        <f>BL38/BL$80</f>
        <v>6.5592779887075806E-2</v>
      </c>
      <c r="BM45" s="579"/>
      <c r="BN45" s="577">
        <f>BN38/BN$80</f>
        <v>0.19313161742147805</v>
      </c>
      <c r="BO45" s="577"/>
      <c r="BP45" s="578">
        <f>BP38/BP$80</f>
        <v>8.7869245255181957E-2</v>
      </c>
      <c r="BQ45" s="579"/>
      <c r="BR45" s="577">
        <f>BR38/BR$80</f>
        <v>3.2174680280751079E-2</v>
      </c>
      <c r="BS45" s="577"/>
      <c r="BT45" s="578">
        <f>BT38/BT$80</f>
        <v>6.1622672854173534E-2</v>
      </c>
      <c r="BU45" s="579"/>
      <c r="BV45" s="577">
        <f>BV38/BV$80</f>
        <v>2.2994567091930641E-2</v>
      </c>
      <c r="BW45" s="577"/>
      <c r="BX45" s="578">
        <f>BX38/BX$80</f>
        <v>1.6995584686850463E-2</v>
      </c>
      <c r="BY45" s="579"/>
      <c r="BZ45" s="577">
        <f>BZ38/BZ$80</f>
        <v>0.25750882322863744</v>
      </c>
      <c r="CA45" s="577"/>
      <c r="CB45" s="578">
        <f>CB38/CB$80</f>
        <v>2.8661060460520676E-2</v>
      </c>
      <c r="CC45" s="579"/>
      <c r="CD45" s="577">
        <f>CD38/CD$80</f>
        <v>1.8409186556855915E-3</v>
      </c>
      <c r="CE45" s="577"/>
      <c r="CF45" s="578">
        <f>CF38/CF$80</f>
        <v>0.23307537225225552</v>
      </c>
      <c r="CG45" s="579"/>
      <c r="CH45" s="577">
        <f>CH38/CH$80</f>
        <v>0.2293579345668724</v>
      </c>
      <c r="CI45" s="577"/>
      <c r="CJ45" s="578">
        <f>CJ38/CJ$80</f>
        <v>0.83412101858190013</v>
      </c>
      <c r="CK45" s="579"/>
      <c r="CL45" s="577">
        <f>CL38/CL$80</f>
        <v>2.8282782410982803E-2</v>
      </c>
      <c r="CM45" s="577"/>
      <c r="CN45" s="578">
        <f>CN38/CN$80</f>
        <v>1.1094803743426022E-2</v>
      </c>
      <c r="CO45" s="579"/>
      <c r="CP45" s="577">
        <f>CP38/CP$80</f>
        <v>3.4782133594120976</v>
      </c>
      <c r="CQ45" s="577"/>
      <c r="CR45" s="578">
        <f>CR38/CR$80</f>
        <v>9.4199864156132749E-4</v>
      </c>
      <c r="CS45" s="579"/>
    </row>
    <row r="46" spans="4:97">
      <c r="D46" s="566"/>
      <c r="G46" t="s">
        <v>755</v>
      </c>
      <c r="H46" s="578">
        <f>H39/H$80</f>
        <v>20.495333628888808</v>
      </c>
      <c r="I46" s="579"/>
      <c r="J46" s="577">
        <f>J39/J$80</f>
        <v>20.495333628888808</v>
      </c>
      <c r="K46" s="577"/>
      <c r="L46" s="578">
        <f>L39/L$80</f>
        <v>6.1391437821606356</v>
      </c>
      <c r="M46" s="579"/>
      <c r="N46" s="577">
        <f>N39/N$80</f>
        <v>30.508703563385296</v>
      </c>
      <c r="O46" s="577"/>
      <c r="P46" s="578">
        <f>P39/P$80</f>
        <v>2.5120429817976264</v>
      </c>
      <c r="Q46" s="579"/>
      <c r="R46" s="577">
        <f>R39/R$80</f>
        <v>2.3017936252956139</v>
      </c>
      <c r="S46" s="577"/>
      <c r="T46" s="578">
        <f>T39/T$80</f>
        <v>6.1391437821606356</v>
      </c>
      <c r="U46" s="579"/>
      <c r="V46" s="577">
        <f>V39/V$80</f>
        <v>1.936293111534801</v>
      </c>
      <c r="W46" s="577"/>
      <c r="X46" s="578">
        <f>X39/X$80</f>
        <v>2.7485781330389689</v>
      </c>
      <c r="Y46" s="579"/>
      <c r="Z46" s="577">
        <f>Z39/Z$80</f>
        <v>0.62999551983984947</v>
      </c>
      <c r="AA46" s="577"/>
      <c r="AB46" s="578">
        <f>AB39/AB$80</f>
        <v>5.2053271417847055E-3</v>
      </c>
      <c r="AC46" s="579"/>
      <c r="AD46" s="577">
        <f>AD39/AD$80</f>
        <v>0.41117725508120584</v>
      </c>
      <c r="AE46" s="577"/>
      <c r="AF46" s="578">
        <f>AF39/AF$80</f>
        <v>0.17678455295387799</v>
      </c>
      <c r="AG46" s="579"/>
      <c r="AH46" s="577">
        <f>AH39/AH$80</f>
        <v>0.62431608679332484</v>
      </c>
      <c r="AI46" s="577"/>
      <c r="AJ46" s="578">
        <f>AJ39/AJ$80</f>
        <v>0.275989139797992</v>
      </c>
      <c r="AK46" s="579"/>
      <c r="AL46" s="577">
        <f>AL39/AL$80</f>
        <v>0.22310783188230549</v>
      </c>
      <c r="AM46" s="577"/>
      <c r="AN46" s="578">
        <f>AN39/AN$80</f>
        <v>3.1993847611898038E-2</v>
      </c>
      <c r="AO46" s="579"/>
      <c r="AP46" s="577">
        <f>AP39/AP$80</f>
        <v>0.5953024902776427</v>
      </c>
      <c r="AQ46" s="577"/>
      <c r="AR46" s="578">
        <f>AR39/AR$80</f>
        <v>6.0118647604748464E-2</v>
      </c>
      <c r="AS46" s="579"/>
      <c r="AT46" s="577">
        <f>AT39/AT$80</f>
        <v>0.25655245277054967</v>
      </c>
      <c r="AU46" s="577"/>
      <c r="AV46" s="578">
        <f>AV39/AV$80</f>
        <v>0.46057369219219907</v>
      </c>
      <c r="AW46" s="579"/>
      <c r="AX46" s="577">
        <f>AX39/AX$80</f>
        <v>0.11514342304804977</v>
      </c>
      <c r="AY46" s="577"/>
      <c r="AZ46" s="578">
        <f>AZ39/AZ$80</f>
        <v>0.11514342304804977</v>
      </c>
      <c r="BA46" s="579"/>
      <c r="BB46" s="577">
        <f>BB39/BB$80</f>
        <v>1.3817210765765973</v>
      </c>
      <c r="BC46" s="577"/>
      <c r="BD46" s="578">
        <f>BD39/BD$80</f>
        <v>0.29756575128642548</v>
      </c>
      <c r="BE46" s="579"/>
      <c r="BF46" s="577">
        <f>BF39/BF$80</f>
        <v>7.7824014405031103E-2</v>
      </c>
      <c r="BG46" s="577"/>
      <c r="BH46" s="578">
        <f>BH39/BH$80</f>
        <v>8.9539031563143044E-3</v>
      </c>
      <c r="BI46" s="579"/>
      <c r="BJ46" s="577">
        <f>BJ39/BJ$80</f>
        <v>1.4603289660754666E-2</v>
      </c>
      <c r="BK46" s="577"/>
      <c r="BL46" s="578">
        <f>BL39/BL$80</f>
        <v>7.1058844877665464E-2</v>
      </c>
      <c r="BM46" s="579"/>
      <c r="BN46" s="577">
        <f>BN39/BN$80</f>
        <v>0.20922591887326791</v>
      </c>
      <c r="BO46" s="577"/>
      <c r="BP46" s="578">
        <f>BP39/BP$80</f>
        <v>9.5191682359780469E-2</v>
      </c>
      <c r="BQ46" s="579"/>
      <c r="BR46" s="577">
        <f>BR39/BR$80</f>
        <v>3.485590363748034E-2</v>
      </c>
      <c r="BS46" s="577"/>
      <c r="BT46" s="578">
        <f>BT39/BT$80</f>
        <v>6.6757895592021332E-2</v>
      </c>
      <c r="BU46" s="579"/>
      <c r="BV46" s="577">
        <f>BV39/BV$80</f>
        <v>2.49107810162582E-2</v>
      </c>
      <c r="BW46" s="577"/>
      <c r="BX46" s="578">
        <f>BX39/BX$80</f>
        <v>1.8411883410754667E-2</v>
      </c>
      <c r="BY46" s="579"/>
      <c r="BZ46" s="577">
        <f>BZ39/BZ$80</f>
        <v>0.27896789183102388</v>
      </c>
      <c r="CA46" s="577"/>
      <c r="CB46" s="578">
        <f>CB39/CB$80</f>
        <v>3.1049482165564069E-2</v>
      </c>
      <c r="CC46" s="579"/>
      <c r="CD46" s="577">
        <f>CD39/CD$80</f>
        <v>1.994328543659391E-3</v>
      </c>
      <c r="CE46" s="577"/>
      <c r="CF46" s="578">
        <f>CF39/CF$80</f>
        <v>0.25249831993994354</v>
      </c>
      <c r="CG46" s="579"/>
      <c r="CH46" s="577">
        <f>CH39/CH$80</f>
        <v>0.24847109578077847</v>
      </c>
      <c r="CI46" s="577"/>
      <c r="CJ46" s="578">
        <f>CJ39/CJ$80</f>
        <v>0.9036311034637251</v>
      </c>
      <c r="CK46" s="579"/>
      <c r="CL46" s="577">
        <f>CL39/CL$80</f>
        <v>3.0639680945231371E-2</v>
      </c>
      <c r="CM46" s="577"/>
      <c r="CN46" s="578">
        <f>CN39/CN$80</f>
        <v>1.2019370722044859E-2</v>
      </c>
      <c r="CO46" s="579"/>
      <c r="CP46" s="577">
        <f>CP39/CP$80</f>
        <v>3.7680644726964396</v>
      </c>
      <c r="CQ46" s="577"/>
      <c r="CR46" s="578">
        <f>CR39/CR$80</f>
        <v>1.0204985283581048E-3</v>
      </c>
      <c r="CS46" s="579"/>
    </row>
    <row r="47" spans="4:97">
      <c r="D47" s="566"/>
      <c r="G47" t="s">
        <v>756</v>
      </c>
      <c r="H47" s="575">
        <f>H40/H$80</f>
        <v>26.801590130085359</v>
      </c>
      <c r="I47" s="576"/>
      <c r="J47" s="574">
        <f>J40/J$80</f>
        <v>26.801590130085359</v>
      </c>
      <c r="K47" s="574"/>
      <c r="L47" s="575">
        <f>L40/L$80</f>
        <v>8.0281110997485232</v>
      </c>
      <c r="M47" s="576"/>
      <c r="N47" s="574">
        <f>N40/N$80</f>
        <v>39.895996967503848</v>
      </c>
      <c r="O47" s="574"/>
      <c r="P47" s="575">
        <f>P40/P$80</f>
        <v>3.284979283889204</v>
      </c>
      <c r="Q47" s="576"/>
      <c r="R47" s="574">
        <f>R40/R$80</f>
        <v>3.0100378176942639</v>
      </c>
      <c r="S47" s="574"/>
      <c r="T47" s="575">
        <f>T40/T$80</f>
        <v>8.0281110997485232</v>
      </c>
      <c r="U47" s="576"/>
      <c r="V47" s="574">
        <f>V40/V$80</f>
        <v>2.532075607391663</v>
      </c>
      <c r="W47" s="574"/>
      <c r="X47" s="575">
        <f>X40/X$80</f>
        <v>3.5942944816663442</v>
      </c>
      <c r="Y47" s="576"/>
      <c r="Z47" s="574">
        <f>Z40/Z$80</f>
        <v>0.82384029517518764</v>
      </c>
      <c r="AA47" s="574"/>
      <c r="AB47" s="575">
        <f>AB40/AB$80</f>
        <v>6.8069662623338459E-3</v>
      </c>
      <c r="AC47" s="576"/>
      <c r="AD47" s="574">
        <f>AD40/AD$80</f>
        <v>0.53769333356773064</v>
      </c>
      <c r="AE47" s="574"/>
      <c r="AF47" s="575">
        <f>AF40/AF$80</f>
        <v>0.2311798000166097</v>
      </c>
      <c r="AG47" s="576"/>
      <c r="AH47" s="574">
        <f>AH40/AH$80</f>
        <v>0.8164133442681939</v>
      </c>
      <c r="AI47" s="574"/>
      <c r="AJ47" s="575">
        <f>AJ40/AJ$80</f>
        <v>0.360908875120451</v>
      </c>
      <c r="AK47" s="576"/>
      <c r="AL47" s="574">
        <f>AL40/AL$80</f>
        <v>0.29175639553839949</v>
      </c>
      <c r="AM47" s="574"/>
      <c r="AN47" s="575">
        <f>AN40/AN$80</f>
        <v>4.1838108415558968E-2</v>
      </c>
      <c r="AO47" s="576"/>
      <c r="AP47" s="574">
        <f>AP40/AP$80</f>
        <v>0.77847248728614793</v>
      </c>
      <c r="AQ47" s="574"/>
      <c r="AR47" s="575">
        <f>AR40/AR$80</f>
        <v>7.8616693021594131E-2</v>
      </c>
      <c r="AS47" s="576"/>
      <c r="AT47" s="574">
        <f>AT40/AT$80</f>
        <v>0.33549166900764182</v>
      </c>
      <c r="AU47" s="574"/>
      <c r="AV47" s="575">
        <f>AV40/AV$80</f>
        <v>0.60228867440518341</v>
      </c>
      <c r="AW47" s="576"/>
      <c r="AX47" s="574">
        <f>AX40/AX$80</f>
        <v>0.15057216860129585</v>
      </c>
      <c r="AY47" s="574"/>
      <c r="AZ47" s="575">
        <f>AZ40/AZ$80</f>
        <v>0.15057216860129585</v>
      </c>
      <c r="BA47" s="576"/>
      <c r="BB47" s="574">
        <f>BB40/BB$80</f>
        <v>1.8068660232155502</v>
      </c>
      <c r="BC47" s="574"/>
      <c r="BD47" s="575">
        <f>BD40/BD$80</f>
        <v>0.38912444398994095</v>
      </c>
      <c r="BE47" s="576"/>
      <c r="BF47" s="574">
        <f>BF40/BF$80</f>
        <v>0.10176986499119452</v>
      </c>
      <c r="BG47" s="574"/>
      <c r="BH47" s="575">
        <f>BH40/BH$80</f>
        <v>1.1708950281334091E-2</v>
      </c>
      <c r="BI47" s="576"/>
      <c r="BJ47" s="574">
        <f>BJ40/BJ$80</f>
        <v>1.9096609556371488E-2</v>
      </c>
      <c r="BK47" s="574"/>
      <c r="BL47" s="575">
        <f>BL40/BL$80</f>
        <v>9.2923104840024057E-2</v>
      </c>
      <c r="BM47" s="576"/>
      <c r="BN47" s="574">
        <f>BN40/BN$80</f>
        <v>0.27360312468042719</v>
      </c>
      <c r="BO47" s="574"/>
      <c r="BP47" s="575">
        <f>BP40/BP$80</f>
        <v>0.12448143077817445</v>
      </c>
      <c r="BQ47" s="576"/>
      <c r="BR47" s="574">
        <f>BR40/BR$80</f>
        <v>4.5580797064397362E-2</v>
      </c>
      <c r="BS47" s="574"/>
      <c r="BT47" s="575">
        <f>BT40/BT$80</f>
        <v>8.7298786543412513E-2</v>
      </c>
      <c r="BU47" s="576"/>
      <c r="BV47" s="574">
        <f>BV40/BV$80</f>
        <v>3.2575636713568411E-2</v>
      </c>
      <c r="BW47" s="574"/>
      <c r="BX47" s="575">
        <f>BX40/BX$80</f>
        <v>2.4077078306371485E-2</v>
      </c>
      <c r="BY47" s="576"/>
      <c r="BZ47" s="574">
        <f>BZ40/BZ$80</f>
        <v>0.36480416624056966</v>
      </c>
      <c r="CA47" s="574"/>
      <c r="CB47" s="575">
        <f>CB40/CB$80</f>
        <v>4.0603168985737625E-2</v>
      </c>
      <c r="CC47" s="576"/>
      <c r="CD47" s="574">
        <f>CD40/CD$80</f>
        <v>2.6079680955545881E-3</v>
      </c>
      <c r="CE47" s="574"/>
      <c r="CF47" s="575">
        <f>CF40/CF$80</f>
        <v>0.33019011069069537</v>
      </c>
      <c r="CG47" s="576"/>
      <c r="CH47" s="574">
        <f>CH40/CH$80</f>
        <v>0.32492374063640261</v>
      </c>
      <c r="CI47" s="574"/>
      <c r="CJ47" s="575">
        <f>CJ40/CJ$80</f>
        <v>1.1816714429910251</v>
      </c>
      <c r="CK47" s="576"/>
      <c r="CL47" s="574">
        <f>CL40/CL$80</f>
        <v>4.0067275082225642E-2</v>
      </c>
      <c r="CM47" s="574"/>
      <c r="CN47" s="575">
        <f>CN40/CN$80</f>
        <v>1.57176386365202E-2</v>
      </c>
      <c r="CO47" s="576"/>
      <c r="CP47" s="574">
        <f>CP40/CP$80</f>
        <v>4.9274689258338054</v>
      </c>
      <c r="CQ47" s="574"/>
      <c r="CR47" s="575">
        <f>CR40/CR$80</f>
        <v>1.3344980755452139E-3</v>
      </c>
      <c r="CS47" s="576"/>
    </row>
    <row r="50" spans="1:97" s="108" customFormat="1">
      <c r="H50" s="364"/>
      <c r="I50" s="364"/>
      <c r="J50" s="364"/>
      <c r="K50" s="364"/>
      <c r="L50" s="364"/>
      <c r="M50" s="364"/>
      <c r="N50" s="364"/>
      <c r="O50" s="364"/>
      <c r="P50" s="364"/>
      <c r="Q50" s="364"/>
      <c r="R50" s="364"/>
      <c r="S50" s="364"/>
      <c r="T50" s="364"/>
      <c r="U50" s="364"/>
      <c r="V50" s="364"/>
      <c r="W50" s="364"/>
      <c r="X50" s="364"/>
      <c r="Y50" s="364"/>
      <c r="Z50" s="364"/>
      <c r="AA50" s="364"/>
      <c r="AB50" s="364"/>
      <c r="AC50" s="364"/>
      <c r="AD50" s="364"/>
      <c r="AE50" s="364"/>
      <c r="AF50" s="364"/>
      <c r="AG50" s="364"/>
      <c r="AH50" s="364"/>
      <c r="AI50" s="364"/>
      <c r="AJ50" s="364"/>
      <c r="AK50" s="364"/>
      <c r="AL50" s="364"/>
      <c r="AM50" s="364"/>
      <c r="AN50" s="364"/>
      <c r="AO50" s="364"/>
      <c r="AP50" s="364"/>
      <c r="AQ50" s="364"/>
      <c r="AR50" s="364"/>
      <c r="AS50" s="364"/>
      <c r="AT50" s="364"/>
      <c r="AU50" s="364"/>
      <c r="AV50" s="364"/>
      <c r="AW50" s="364"/>
      <c r="AX50" s="364"/>
      <c r="AY50" s="364"/>
      <c r="AZ50" s="364"/>
      <c r="BA50" s="364"/>
      <c r="BB50" s="364"/>
      <c r="BC50" s="364"/>
      <c r="BD50" s="364"/>
      <c r="BE50" s="364"/>
      <c r="BF50" s="364"/>
      <c r="BG50" s="364"/>
      <c r="BH50" s="364"/>
      <c r="BI50" s="364"/>
      <c r="BJ50" s="364"/>
      <c r="BK50" s="364"/>
      <c r="BL50" s="364"/>
      <c r="BM50" s="364"/>
      <c r="BN50" s="364"/>
      <c r="BO50" s="364"/>
      <c r="BP50" s="364"/>
      <c r="BQ50" s="364"/>
      <c r="BR50" s="364"/>
      <c r="BS50" s="364"/>
      <c r="BT50" s="364"/>
      <c r="BU50" s="364"/>
      <c r="BV50" s="364"/>
      <c r="BW50" s="364"/>
      <c r="BX50" s="364"/>
      <c r="BY50" s="364"/>
      <c r="BZ50" s="364"/>
      <c r="CA50" s="364"/>
      <c r="CB50" s="364"/>
      <c r="CC50" s="364"/>
      <c r="CD50" s="364"/>
      <c r="CE50" s="364"/>
      <c r="CF50" s="364"/>
      <c r="CG50" s="364"/>
      <c r="CH50" s="364"/>
      <c r="CI50" s="364"/>
      <c r="CJ50" s="364"/>
      <c r="CK50" s="364"/>
      <c r="CL50" s="364"/>
      <c r="CM50" s="364"/>
      <c r="CN50" s="364"/>
      <c r="CO50" s="364"/>
      <c r="CP50" s="364"/>
      <c r="CQ50" s="364"/>
      <c r="CR50" s="364"/>
      <c r="CS50" s="364"/>
    </row>
    <row r="51" spans="1:97" ht="21">
      <c r="A51" s="139" t="s">
        <v>774</v>
      </c>
    </row>
    <row r="52" spans="1:97" ht="15.75" customHeight="1" thickBot="1">
      <c r="B52" s="327"/>
      <c r="C52" s="327"/>
    </row>
    <row r="53" spans="1:97" ht="16.5" customHeight="1" thickBot="1">
      <c r="A53" t="s">
        <v>509</v>
      </c>
      <c r="D53" s="329">
        <v>20</v>
      </c>
      <c r="G53" s="341"/>
    </row>
    <row r="54" spans="1:97" ht="15" customHeight="1">
      <c r="A54" s="596" t="s">
        <v>768</v>
      </c>
      <c r="D54" s="571">
        <v>0</v>
      </c>
    </row>
    <row r="55" spans="1:97">
      <c r="A55" s="596"/>
      <c r="D55" s="572"/>
    </row>
    <row r="56" spans="1:97" ht="15.75" thickBot="1">
      <c r="A56" s="596"/>
      <c r="D56" s="573"/>
    </row>
    <row r="57" spans="1:97" ht="15.75" customHeight="1"/>
    <row r="58" spans="1:97">
      <c r="B58" s="590" t="s">
        <v>757</v>
      </c>
      <c r="C58" s="590"/>
      <c r="D58" s="556" t="s">
        <v>760</v>
      </c>
      <c r="E58" s="556"/>
      <c r="F58" s="556"/>
      <c r="H58" s="94" t="s">
        <v>773</v>
      </c>
      <c r="I58" s="94"/>
    </row>
    <row r="59" spans="1:97">
      <c r="A59" s="27"/>
      <c r="B59" s="326" t="s">
        <v>758</v>
      </c>
      <c r="C59" s="326" t="s">
        <v>759</v>
      </c>
      <c r="D59" s="342" t="s">
        <v>758</v>
      </c>
      <c r="E59" s="343" t="s">
        <v>761</v>
      </c>
      <c r="F59" s="346" t="s">
        <v>759</v>
      </c>
      <c r="G59" s="73"/>
      <c r="H59" s="585" t="s">
        <v>33</v>
      </c>
      <c r="I59" s="586"/>
      <c r="J59" s="587" t="s">
        <v>37</v>
      </c>
      <c r="K59" s="586"/>
      <c r="L59" s="587" t="s">
        <v>35</v>
      </c>
      <c r="M59" s="586"/>
      <c r="N59" s="587" t="s">
        <v>36</v>
      </c>
      <c r="O59" s="586"/>
      <c r="P59" s="587" t="s">
        <v>393</v>
      </c>
      <c r="Q59" s="586"/>
      <c r="R59" s="587" t="s">
        <v>38</v>
      </c>
      <c r="S59" s="586"/>
      <c r="T59" s="587" t="s">
        <v>560</v>
      </c>
      <c r="U59" s="586"/>
      <c r="V59" s="587" t="s">
        <v>394</v>
      </c>
      <c r="W59" s="586"/>
      <c r="X59" s="587" t="s">
        <v>764</v>
      </c>
      <c r="Y59" s="586"/>
      <c r="Z59" s="587" t="s">
        <v>39</v>
      </c>
      <c r="AA59" s="586"/>
      <c r="AB59" s="587" t="s">
        <v>765</v>
      </c>
      <c r="AC59" s="586"/>
      <c r="AD59" s="587" t="s">
        <v>766</v>
      </c>
      <c r="AE59" s="586"/>
      <c r="AF59" s="587" t="s">
        <v>40</v>
      </c>
      <c r="AG59" s="586"/>
      <c r="AH59" s="587" t="s">
        <v>555</v>
      </c>
      <c r="AI59" s="586"/>
      <c r="AJ59" s="587" t="s">
        <v>41</v>
      </c>
      <c r="AK59" s="586"/>
      <c r="AL59" s="587" t="s">
        <v>42</v>
      </c>
      <c r="AM59" s="586"/>
      <c r="AN59" s="587" t="s">
        <v>578</v>
      </c>
      <c r="AO59" s="586"/>
      <c r="AP59" s="587" t="s">
        <v>43</v>
      </c>
      <c r="AQ59" s="586"/>
      <c r="AR59" s="587" t="s">
        <v>554</v>
      </c>
      <c r="AS59" s="586"/>
      <c r="AT59" s="587" t="s">
        <v>44</v>
      </c>
      <c r="AU59" s="586"/>
      <c r="AV59" s="587" t="s">
        <v>769</v>
      </c>
      <c r="AW59" s="586"/>
      <c r="AX59" s="587" t="s">
        <v>770</v>
      </c>
      <c r="AY59" s="586"/>
      <c r="AZ59" s="587" t="s">
        <v>771</v>
      </c>
      <c r="BA59" s="586"/>
      <c r="BB59" s="587" t="s">
        <v>772</v>
      </c>
      <c r="BC59" s="586"/>
      <c r="BD59" s="587" t="s">
        <v>45</v>
      </c>
      <c r="BE59" s="586"/>
      <c r="BF59" s="587" t="s">
        <v>767</v>
      </c>
      <c r="BG59" s="586"/>
      <c r="BH59" s="587" t="s">
        <v>46</v>
      </c>
      <c r="BI59" s="586"/>
      <c r="BJ59" s="587" t="s">
        <v>47</v>
      </c>
      <c r="BK59" s="586"/>
      <c r="BL59" s="587" t="s">
        <v>48</v>
      </c>
      <c r="BM59" s="586"/>
      <c r="BN59" s="587" t="s">
        <v>558</v>
      </c>
      <c r="BO59" s="586"/>
      <c r="BP59" s="587" t="s">
        <v>583</v>
      </c>
      <c r="BQ59" s="586"/>
      <c r="BR59" s="587" t="s">
        <v>51</v>
      </c>
      <c r="BS59" s="586"/>
      <c r="BT59" s="585" t="s">
        <v>556</v>
      </c>
      <c r="BU59" s="586"/>
      <c r="BV59" s="587" t="s">
        <v>49</v>
      </c>
      <c r="BW59" s="586"/>
      <c r="BX59" s="587" t="s">
        <v>553</v>
      </c>
      <c r="BY59" s="586"/>
      <c r="BZ59" s="585" t="s">
        <v>57</v>
      </c>
      <c r="CA59" s="586"/>
      <c r="CB59" s="587" t="s">
        <v>50</v>
      </c>
      <c r="CC59" s="586"/>
      <c r="CD59" s="587" t="s">
        <v>606</v>
      </c>
      <c r="CE59" s="586"/>
      <c r="CF59" s="587" t="s">
        <v>607</v>
      </c>
      <c r="CG59" s="586"/>
      <c r="CH59" s="585" t="s">
        <v>52</v>
      </c>
      <c r="CI59" s="586"/>
      <c r="CJ59" s="587" t="s">
        <v>53</v>
      </c>
      <c r="CK59" s="586"/>
      <c r="CL59" s="587" t="s">
        <v>54</v>
      </c>
      <c r="CM59" s="586"/>
      <c r="CN59" s="585" t="s">
        <v>55</v>
      </c>
      <c r="CO59" s="586"/>
      <c r="CP59" s="587" t="s">
        <v>616</v>
      </c>
      <c r="CQ59" s="586"/>
      <c r="CR59" s="587" t="s">
        <v>617</v>
      </c>
      <c r="CS59" s="586"/>
    </row>
    <row r="60" spans="1:97">
      <c r="A60" s="105" t="s">
        <v>109</v>
      </c>
      <c r="B60" s="238">
        <v>5</v>
      </c>
      <c r="C60" s="238">
        <v>10</v>
      </c>
      <c r="D60" s="344">
        <f>ROUNDDOWN(B60*(1+$D$53*0.1),0)</f>
        <v>15</v>
      </c>
      <c r="E60" s="345">
        <f>AVERAGE(D60,F60)</f>
        <v>22.5</v>
      </c>
      <c r="F60" s="347">
        <f>C60*(1+$D$53*0.1)</f>
        <v>30</v>
      </c>
      <c r="G60" s="70"/>
      <c r="H60" s="350">
        <f t="shared" ref="H60:H77" si="3">$D60</f>
        <v>15</v>
      </c>
      <c r="I60" s="349">
        <f>$F60</f>
        <v>30</v>
      </c>
      <c r="J60" s="348">
        <f t="shared" ref="J60:J77" si="4">$D60</f>
        <v>15</v>
      </c>
      <c r="K60" s="349">
        <f>$F60</f>
        <v>30</v>
      </c>
      <c r="L60" s="348">
        <f t="shared" ref="L60:L77" si="5">IF($D$54=1,$D60*2,$D60)</f>
        <v>15</v>
      </c>
      <c r="M60" s="349">
        <f>IF($D$54=1,$F60*2,$F60)</f>
        <v>30</v>
      </c>
      <c r="N60" s="348">
        <f t="shared" ref="N60:N77" si="6">$D60</f>
        <v>15</v>
      </c>
      <c r="O60" s="349">
        <f>$F60</f>
        <v>30</v>
      </c>
      <c r="P60" s="348">
        <f t="shared" ref="P60:P77" si="7">IF($D$54=1,$D60*2,$D60)</f>
        <v>15</v>
      </c>
      <c r="Q60" s="349">
        <f>IF($D$54=1,$F60*2,$F60)</f>
        <v>30</v>
      </c>
      <c r="R60" s="348">
        <f t="shared" ref="R60:R77" si="8">$D60</f>
        <v>15</v>
      </c>
      <c r="S60" s="349">
        <f>$F60</f>
        <v>30</v>
      </c>
      <c r="T60" s="348">
        <f t="shared" ref="T60:T77" si="9">$D60</f>
        <v>15</v>
      </c>
      <c r="U60" s="349">
        <f>$F60</f>
        <v>30</v>
      </c>
      <c r="V60" s="348">
        <f>IF($D$54=2,$D60*2,$D60)</f>
        <v>15</v>
      </c>
      <c r="W60" s="349">
        <f>IF($D$54=2,$F60*2,$F60)</f>
        <v>30</v>
      </c>
      <c r="X60" s="348">
        <f>IF($D$54=1,$D60*2,$D60)</f>
        <v>15</v>
      </c>
      <c r="Y60" s="349">
        <f>IF($D$54=1,$F60*2,$F60)</f>
        <v>30</v>
      </c>
      <c r="Z60" s="348">
        <f>IF($D$54=1,$D60*2,$D60*0.5)</f>
        <v>7.5</v>
      </c>
      <c r="AA60" s="349">
        <f t="shared" ref="AA60:AA77" si="10">IF($D$54=1,$F60*2,$F60*0.5)</f>
        <v>15</v>
      </c>
      <c r="AB60" s="348">
        <f>$D60/2/4</f>
        <v>1.875</v>
      </c>
      <c r="AC60" s="349">
        <f>$F60/2/4</f>
        <v>3.75</v>
      </c>
      <c r="AD60" s="348">
        <f>$D60</f>
        <v>15</v>
      </c>
      <c r="AE60" s="349">
        <f>$F60</f>
        <v>30</v>
      </c>
      <c r="AF60" s="348">
        <f>IF($D$54=1,$D60*2,$D60)</f>
        <v>15</v>
      </c>
      <c r="AG60" s="349">
        <f>IF($D$54=1,$F60*2,$F60)</f>
        <v>30</v>
      </c>
      <c r="AH60" s="348">
        <f>IF($D$54=1,$D60*2/4,$D60/4)</f>
        <v>3.75</v>
      </c>
      <c r="AI60" s="349">
        <f>IF($D$54=1,$F60*2/4,$F60/4)</f>
        <v>7.5</v>
      </c>
      <c r="AJ60" s="348">
        <f>IF($D$54=3,$D60*2,$D60)</f>
        <v>15</v>
      </c>
      <c r="AK60" s="349">
        <f>IF($D$54=3,$F60*2,$F60)</f>
        <v>30</v>
      </c>
      <c r="AL60" s="348">
        <f>IF($D$54=1,$D60*2,$D60)</f>
        <v>15</v>
      </c>
      <c r="AM60" s="349">
        <f>IF($D$54=1,$F60*2,$F60)</f>
        <v>30</v>
      </c>
      <c r="AN60" s="348">
        <f>$D60/4</f>
        <v>3.75</v>
      </c>
      <c r="AO60" s="349">
        <f>$F60/4</f>
        <v>7.5</v>
      </c>
      <c r="AP60" s="348">
        <f>IF($D$54=3,$D60*2*3,$D60*3)</f>
        <v>45</v>
      </c>
      <c r="AQ60" s="349">
        <f>IF($D$54=3,$F60*2*3,$F60*3)</f>
        <v>90</v>
      </c>
      <c r="AR60" s="348">
        <f>IF($D$54=3,$D60*2/4,$D60/4)</f>
        <v>3.75</v>
      </c>
      <c r="AS60" s="349">
        <f>IF($D$54=3,$F60*2/4,$F60/4)</f>
        <v>7.5</v>
      </c>
      <c r="AT60" s="348">
        <f>IF($D$54=4,$D60*2,$D60)</f>
        <v>15</v>
      </c>
      <c r="AU60" s="349">
        <f>IF($D$54=4,$F60*2,$F60)</f>
        <v>30</v>
      </c>
      <c r="AV60" s="348">
        <f>IF($D$54=4,$D60*2,$D60/2)</f>
        <v>7.5</v>
      </c>
      <c r="AW60" s="349">
        <f>IF($D$54=4,$F60*2,$F60/2)</f>
        <v>15</v>
      </c>
      <c r="AX60" s="348">
        <f>IF($D$54=4,$D60*2/4,$D60/4/2)</f>
        <v>1.875</v>
      </c>
      <c r="AY60" s="349">
        <f>IF($D$54=4,$F60*2/4,$F60/4/2)</f>
        <v>3.75</v>
      </c>
      <c r="AZ60" s="348">
        <f>IF($D$54=4,$D60*2/4,$D60/4/2)</f>
        <v>1.875</v>
      </c>
      <c r="BA60" s="349">
        <f>IF($D$54=4,$F60*2/4,$F60/4/2)</f>
        <v>3.75</v>
      </c>
      <c r="BB60" s="348">
        <f>IF($D$54=4,$D60*2*3,$D60*3/2)</f>
        <v>22.5</v>
      </c>
      <c r="BC60" s="349">
        <f>IF($D$54=4,$F60*2*3,$F60*3/2)</f>
        <v>45</v>
      </c>
      <c r="BD60" s="348">
        <f>IF($D$54=2,$D60*2,$D60)</f>
        <v>15</v>
      </c>
      <c r="BE60" s="349">
        <f>IF($D$54=2,$F60*2,$F60)</f>
        <v>30</v>
      </c>
      <c r="BF60" s="348">
        <f>IF($D$54=3,$D60*2/4,$D60/4)</f>
        <v>3.75</v>
      </c>
      <c r="BG60" s="349">
        <f>IF($D$54=3,$F60*2/4,$F60/4)</f>
        <v>7.5</v>
      </c>
      <c r="BH60" s="348">
        <f>$D60/4</f>
        <v>3.75</v>
      </c>
      <c r="BI60" s="349">
        <f>$F60/4</f>
        <v>7.5</v>
      </c>
      <c r="BJ60" s="348">
        <f>$D60/4</f>
        <v>3.75</v>
      </c>
      <c r="BK60" s="349">
        <f>$F60/4</f>
        <v>7.5</v>
      </c>
      <c r="BL60" s="348">
        <f>IF($D$54=2,$D60*2,$D60)</f>
        <v>15</v>
      </c>
      <c r="BM60" s="349">
        <f>IF($D$54=2,$F60*2,$F60)</f>
        <v>30</v>
      </c>
      <c r="BN60" s="348">
        <f>IF($D$54=3,$D60*2*3,$D60*3)</f>
        <v>45</v>
      </c>
      <c r="BO60" s="349">
        <f>IF($D$54=3,$F60*2*3,$F60*3)</f>
        <v>90</v>
      </c>
      <c r="BP60" s="348">
        <f t="shared" ref="BP60:BP77" si="11">$D60</f>
        <v>15</v>
      </c>
      <c r="BQ60" s="349">
        <f>$F60</f>
        <v>30</v>
      </c>
      <c r="BR60" s="348">
        <f>IF($D$54=4,$D60*2,$D60)</f>
        <v>15</v>
      </c>
      <c r="BS60" s="349">
        <f>IF($D$54=4,$F60*2,$F60)</f>
        <v>30</v>
      </c>
      <c r="BT60" s="350">
        <f>IF($D$54=1,$D60*2,$D60)</f>
        <v>15</v>
      </c>
      <c r="BU60" s="349">
        <f>IF($D$54=1,$F60*2,$F60)</f>
        <v>30</v>
      </c>
      <c r="BV60" s="348">
        <f>IF($D$54=3,$D60*2,$D60)</f>
        <v>15</v>
      </c>
      <c r="BW60" s="349">
        <f>IF($D$54=3,$F60*2,$F60)</f>
        <v>30</v>
      </c>
      <c r="BX60" s="348">
        <f>IF($D$54=2,$D60*2*3/4,$D60*3/4)</f>
        <v>11.25</v>
      </c>
      <c r="BY60" s="349">
        <f>IF($D$54=2,$F60*2*3/4,$F60*3/4)</f>
        <v>22.5</v>
      </c>
      <c r="BZ60" s="350">
        <f>$D60</f>
        <v>15</v>
      </c>
      <c r="CA60" s="349">
        <f>$F60</f>
        <v>30</v>
      </c>
      <c r="CB60" s="348">
        <f>$D60*3</f>
        <v>45</v>
      </c>
      <c r="CC60" s="349">
        <f>$F60*3</f>
        <v>90</v>
      </c>
      <c r="CD60" s="348">
        <f>IF($D$54=3,$D60*2/4,$D60/4)</f>
        <v>3.75</v>
      </c>
      <c r="CE60" s="349">
        <f>IF($D$54=3,$F60*2/4,$F60/4)</f>
        <v>7.5</v>
      </c>
      <c r="CF60" s="348">
        <f>IF($D$54=1,$D60*2,$D60)</f>
        <v>15</v>
      </c>
      <c r="CG60" s="349">
        <f>IF($D$54=1,$F60*2,$F60)</f>
        <v>30</v>
      </c>
      <c r="CH60" s="350">
        <f>$D60</f>
        <v>15</v>
      </c>
      <c r="CI60" s="349">
        <f>$F60</f>
        <v>30</v>
      </c>
      <c r="CJ60" s="348">
        <f>IF($D$54=1,$D60*2*3,$D60*3)</f>
        <v>45</v>
      </c>
      <c r="CK60" s="349">
        <f>IF($D$54=1,$F60*2*3,$F60*3)</f>
        <v>90</v>
      </c>
      <c r="CL60" s="348">
        <f>IF($D$54=2,$D60*2/4,$D60/4)</f>
        <v>3.75</v>
      </c>
      <c r="CM60" s="349">
        <f>IF($D$54=2,$F60*2/4,$F60/4)</f>
        <v>7.5</v>
      </c>
      <c r="CN60" s="350">
        <f t="shared" ref="CN60:CR77" si="12">$D60</f>
        <v>15</v>
      </c>
      <c r="CO60" s="349">
        <f>$F60</f>
        <v>30</v>
      </c>
      <c r="CP60" s="348">
        <f t="shared" si="12"/>
        <v>15</v>
      </c>
      <c r="CQ60" s="349">
        <f>$F60</f>
        <v>30</v>
      </c>
      <c r="CR60" s="348">
        <f t="shared" si="12"/>
        <v>15</v>
      </c>
      <c r="CS60" s="349">
        <f>$F60</f>
        <v>30</v>
      </c>
    </row>
    <row r="61" spans="1:97">
      <c r="A61" s="339" t="s">
        <v>112</v>
      </c>
      <c r="B61" s="238">
        <v>25</v>
      </c>
      <c r="C61" s="238">
        <v>30</v>
      </c>
      <c r="D61" s="344">
        <f>ROUNDDOWN(B61*(1+$D$53*0.1),0)</f>
        <v>75</v>
      </c>
      <c r="E61" s="345">
        <f t="shared" ref="E61:E77" si="13">AVERAGE(D61,F61)</f>
        <v>82.5</v>
      </c>
      <c r="F61" s="347">
        <f>C61*(1+$D$53*0.1)</f>
        <v>90</v>
      </c>
      <c r="G61" s="70"/>
      <c r="H61" s="350">
        <f t="shared" si="3"/>
        <v>75</v>
      </c>
      <c r="I61" s="349">
        <f t="shared" ref="I61:K77" si="14">$F61</f>
        <v>90</v>
      </c>
      <c r="J61" s="348">
        <f t="shared" si="4"/>
        <v>75</v>
      </c>
      <c r="K61" s="349">
        <f t="shared" si="14"/>
        <v>90</v>
      </c>
      <c r="L61" s="348">
        <f t="shared" si="5"/>
        <v>75</v>
      </c>
      <c r="M61" s="349">
        <f t="shared" ref="M61:M77" si="15">IF($D$54=1,$F61*2,$F61)</f>
        <v>90</v>
      </c>
      <c r="N61" s="348">
        <f t="shared" si="6"/>
        <v>75</v>
      </c>
      <c r="O61" s="349">
        <f t="shared" ref="O61:O77" si="16">$F61</f>
        <v>90</v>
      </c>
      <c r="P61" s="348">
        <f t="shared" si="7"/>
        <v>75</v>
      </c>
      <c r="Q61" s="349">
        <f t="shared" ref="Q61:Q77" si="17">IF($D$54=1,$F61*2,$F61)</f>
        <v>90</v>
      </c>
      <c r="R61" s="348">
        <f t="shared" si="8"/>
        <v>75</v>
      </c>
      <c r="S61" s="349">
        <f t="shared" ref="S61:S77" si="18">$F61</f>
        <v>90</v>
      </c>
      <c r="T61" s="348">
        <f t="shared" si="9"/>
        <v>75</v>
      </c>
      <c r="U61" s="349">
        <f t="shared" ref="U61:U77" si="19">$F61</f>
        <v>90</v>
      </c>
      <c r="V61" s="348">
        <f t="shared" ref="V61:V77" si="20">IF($D$54=2,$D61*2,$D61)</f>
        <v>75</v>
      </c>
      <c r="W61" s="349">
        <f t="shared" ref="W61:W77" si="21">IF($D$54=2,$F61*2,$F61)</f>
        <v>90</v>
      </c>
      <c r="X61" s="348">
        <f>IF($D$54=1,$D61*2,$D61)</f>
        <v>75</v>
      </c>
      <c r="Y61" s="349">
        <f t="shared" ref="Y61:Y77" si="22">IF($D$54=1,$F61*2,$F61)</f>
        <v>90</v>
      </c>
      <c r="Z61" s="348">
        <f t="shared" ref="Z61:Z77" si="23">IF($D$54=1,$D61*2,$D61*0.5)</f>
        <v>37.5</v>
      </c>
      <c r="AA61" s="349">
        <f t="shared" si="10"/>
        <v>45</v>
      </c>
      <c r="AB61" s="348">
        <f>$D61/2/4</f>
        <v>9.375</v>
      </c>
      <c r="AC61" s="349">
        <f>$F61/2/4</f>
        <v>11.25</v>
      </c>
      <c r="AD61" s="348">
        <f>$D61*3</f>
        <v>225</v>
      </c>
      <c r="AE61" s="349">
        <f>$F61*3</f>
        <v>270</v>
      </c>
      <c r="AF61" s="348">
        <f>IF($D$54=1,$D61*2,$D61)</f>
        <v>75</v>
      </c>
      <c r="AG61" s="349">
        <f t="shared" ref="AG61:AG77" si="24">IF($D$54=1,$F61*2,$F61)</f>
        <v>90</v>
      </c>
      <c r="AH61" s="348">
        <f>IF($D$54=1,$D61*2,$D61)</f>
        <v>75</v>
      </c>
      <c r="AI61" s="349">
        <f>IF($D$54=1,$F61*2,$F61)</f>
        <v>90</v>
      </c>
      <c r="AJ61" s="348">
        <f t="shared" ref="AJ61:AJ77" si="25">IF($D$54=3,$D61*2,$D61)</f>
        <v>75</v>
      </c>
      <c r="AK61" s="349">
        <f t="shared" ref="AK61:AK77" si="26">IF($D$54=3,$F61*2,$F61)</f>
        <v>90</v>
      </c>
      <c r="AL61" s="348">
        <f>IF($D$54=1,$D61*2,$D61)</f>
        <v>75</v>
      </c>
      <c r="AM61" s="349">
        <f t="shared" ref="AM61:AM77" si="27">IF($D$54=1,$F61*2,$F61)</f>
        <v>90</v>
      </c>
      <c r="AN61" s="348">
        <f>$D61*3/4</f>
        <v>56.25</v>
      </c>
      <c r="AO61" s="349">
        <f>$F61*3/4</f>
        <v>67.5</v>
      </c>
      <c r="AP61" s="348">
        <f>IF($D$54=3,$D61*2/4,$D61/4)</f>
        <v>18.75</v>
      </c>
      <c r="AQ61" s="349">
        <f>IF($D$54=3,$F61*2/4,$F61/4)</f>
        <v>22.5</v>
      </c>
      <c r="AR61" s="348">
        <f>IF($D$54=3,$D61*2/4,$D61/4)</f>
        <v>18.75</v>
      </c>
      <c r="AS61" s="349">
        <f>IF($D$54=3,$F61*2/4,$F61/4)</f>
        <v>22.5</v>
      </c>
      <c r="AT61" s="348">
        <f t="shared" ref="AT61:AT77" si="28">IF($D$54=4,$D61*2,$D61)</f>
        <v>75</v>
      </c>
      <c r="AU61" s="349">
        <f t="shared" ref="AU61:AU77" si="29">IF($D$54=4,$F61*2,$F61)</f>
        <v>90</v>
      </c>
      <c r="AV61" s="348">
        <f>IF($D$54=4,$D61*2*3,$D61*3/2)</f>
        <v>112.5</v>
      </c>
      <c r="AW61" s="349">
        <f>IF($D$54=4,$F61*2*3,$F61*3/2)</f>
        <v>135</v>
      </c>
      <c r="AX61" s="348">
        <f>IF($D$54=4,$D61*2,$D61/2)</f>
        <v>37.5</v>
      </c>
      <c r="AY61" s="349">
        <f>IF($D$54=4,$F61*2,$F61/2)</f>
        <v>45</v>
      </c>
      <c r="AZ61" s="348">
        <f>IF($D$54=4,$D61*2/4,$D61/4/2)</f>
        <v>9.375</v>
      </c>
      <c r="BA61" s="349">
        <f>IF($D$54=4,$F61*2/4,$F61/4/2)</f>
        <v>11.25</v>
      </c>
      <c r="BB61" s="348">
        <f>IF($D$54=4,$D61*2/4,$D61/4/2)</f>
        <v>9.375</v>
      </c>
      <c r="BC61" s="349">
        <f>IF($D$54=4,$F61*2/4,$F61/4/2)</f>
        <v>11.25</v>
      </c>
      <c r="BD61" s="348">
        <f t="shared" ref="BD61:BD77" si="30">IF($D$54=2,$D61*2,$D61)</f>
        <v>75</v>
      </c>
      <c r="BE61" s="349">
        <f t="shared" ref="BE61:BE77" si="31">IF($D$54=2,$F61*2,$F61)</f>
        <v>90</v>
      </c>
      <c r="BF61" s="348">
        <f>IF($D$54=3,$D61*2/4,$D61/4)</f>
        <v>18.75</v>
      </c>
      <c r="BG61" s="349">
        <f>IF($D$54=3,$F61*2/4,$F61/4)</f>
        <v>22.5</v>
      </c>
      <c r="BH61" s="348">
        <f>$D61</f>
        <v>75</v>
      </c>
      <c r="BI61" s="349">
        <f>$F61</f>
        <v>90</v>
      </c>
      <c r="BJ61" s="348">
        <f>$D61/4</f>
        <v>18.75</v>
      </c>
      <c r="BK61" s="349">
        <f>$F61/4</f>
        <v>22.5</v>
      </c>
      <c r="BL61" s="348">
        <f t="shared" ref="BL61:BL77" si="32">IF($D$54=2,$D61*2,$D61)</f>
        <v>75</v>
      </c>
      <c r="BM61" s="349">
        <f t="shared" ref="BM61:BM77" si="33">IF($D$54=2,$F61*2,$F61)</f>
        <v>90</v>
      </c>
      <c r="BN61" s="348">
        <f>IF($D$54=3,$D61*2/4,$D61/4)</f>
        <v>18.75</v>
      </c>
      <c r="BO61" s="349">
        <f>IF($D$54=3,$F61*2/4,$F61/4)</f>
        <v>22.5</v>
      </c>
      <c r="BP61" s="348">
        <f t="shared" si="11"/>
        <v>75</v>
      </c>
      <c r="BQ61" s="349">
        <f t="shared" ref="BQ61:BQ77" si="34">$F61</f>
        <v>90</v>
      </c>
      <c r="BR61" s="348">
        <f t="shared" ref="BR61:BR77" si="35">IF($D$54=4,$D61*2,$D61)</f>
        <v>75</v>
      </c>
      <c r="BS61" s="349">
        <f t="shared" ref="BS61:BS77" si="36">IF($D$54=4,$F61*2,$F61)</f>
        <v>90</v>
      </c>
      <c r="BT61" s="350">
        <f>IF($D$54=1,$D61*2,$D61)</f>
        <v>75</v>
      </c>
      <c r="BU61" s="349">
        <f t="shared" ref="BU61:BU77" si="37">IF($D$54=1,$F61*2,$F61)</f>
        <v>90</v>
      </c>
      <c r="BV61" s="348">
        <f t="shared" ref="BV61:BV77" si="38">IF($D$54=3,$D61*2,$D61)</f>
        <v>75</v>
      </c>
      <c r="BW61" s="349">
        <f t="shared" ref="BW61:BW77" si="39">IF($D$54=3,$F61*2,$F61)</f>
        <v>90</v>
      </c>
      <c r="BX61" s="348">
        <f>IF($D$54=2,$D61*2/4,$D61/4)</f>
        <v>18.75</v>
      </c>
      <c r="BY61" s="349">
        <f>IF($D$54=2,$F61*2/4,$F61/4)</f>
        <v>22.5</v>
      </c>
      <c r="BZ61" s="350">
        <f>$D61*3</f>
        <v>225</v>
      </c>
      <c r="CA61" s="349">
        <f>$F61*3</f>
        <v>270</v>
      </c>
      <c r="CB61" s="348">
        <f>$D61/4</f>
        <v>18.75</v>
      </c>
      <c r="CC61" s="349">
        <f>$F61/4</f>
        <v>22.5</v>
      </c>
      <c r="CD61" s="348">
        <f>IF($D$54=3,$D61*2/4,$D61/4)</f>
        <v>18.75</v>
      </c>
      <c r="CE61" s="349">
        <f>IF($D$54=3,$F61*2/4,$F61/4)</f>
        <v>22.5</v>
      </c>
      <c r="CF61" s="348">
        <f>IF($D$54=1,$D61*2,$D61)</f>
        <v>75</v>
      </c>
      <c r="CG61" s="349">
        <f t="shared" ref="CG61:CG77" si="40">IF($D$54=1,$F61*2,$F61)</f>
        <v>90</v>
      </c>
      <c r="CH61" s="350">
        <f>$D61*3</f>
        <v>225</v>
      </c>
      <c r="CI61" s="349">
        <f>$F61*3</f>
        <v>270</v>
      </c>
      <c r="CJ61" s="348">
        <f>IF($D$54=1,$D61*2/4,$D61/4)</f>
        <v>18.75</v>
      </c>
      <c r="CK61" s="349">
        <f>IF($D$54=1,$F61*2/4,$F61/4)</f>
        <v>22.5</v>
      </c>
      <c r="CL61" s="348">
        <f>IF($D$54=2,$D61*2/4,$D61/4)</f>
        <v>18.75</v>
      </c>
      <c r="CM61" s="349">
        <f>IF($D$54=2,$F61*2/4,$F61/4)</f>
        <v>22.5</v>
      </c>
      <c r="CN61" s="350">
        <f t="shared" si="12"/>
        <v>75</v>
      </c>
      <c r="CO61" s="349">
        <f t="shared" ref="CO61:CO77" si="41">$F61</f>
        <v>90</v>
      </c>
      <c r="CP61" s="348">
        <f t="shared" si="12"/>
        <v>75</v>
      </c>
      <c r="CQ61" s="349">
        <f t="shared" ref="CQ61:CQ77" si="42">$F61</f>
        <v>90</v>
      </c>
      <c r="CR61" s="348">
        <f t="shared" si="12"/>
        <v>75</v>
      </c>
      <c r="CS61" s="349">
        <f t="shared" ref="CS61:CS77" si="43">$F61</f>
        <v>90</v>
      </c>
    </row>
    <row r="62" spans="1:97">
      <c r="A62" s="340" t="s">
        <v>510</v>
      </c>
      <c r="B62" s="238">
        <v>15</v>
      </c>
      <c r="C62" s="238">
        <v>30</v>
      </c>
      <c r="D62" s="344">
        <f t="shared" ref="D62:D64" si="44">ROUNDDOWN(B62*(1+$D$53*0.1),0)</f>
        <v>45</v>
      </c>
      <c r="E62" s="345">
        <f t="shared" si="13"/>
        <v>67.5</v>
      </c>
      <c r="F62" s="347">
        <f t="shared" ref="F62:F64" si="45">C62*(1+$D$53*0.1)</f>
        <v>90</v>
      </c>
      <c r="G62" s="70"/>
      <c r="H62" s="350">
        <f t="shared" si="3"/>
        <v>45</v>
      </c>
      <c r="I62" s="349">
        <f t="shared" si="14"/>
        <v>90</v>
      </c>
      <c r="J62" s="348">
        <f t="shared" si="4"/>
        <v>45</v>
      </c>
      <c r="K62" s="349">
        <f t="shared" si="14"/>
        <v>90</v>
      </c>
      <c r="L62" s="348">
        <f t="shared" si="5"/>
        <v>45</v>
      </c>
      <c r="M62" s="349">
        <f t="shared" si="15"/>
        <v>90</v>
      </c>
      <c r="N62" s="348">
        <f t="shared" si="6"/>
        <v>45</v>
      </c>
      <c r="O62" s="349">
        <f t="shared" si="16"/>
        <v>90</v>
      </c>
      <c r="P62" s="348">
        <f t="shared" si="7"/>
        <v>45</v>
      </c>
      <c r="Q62" s="349">
        <f t="shared" si="17"/>
        <v>90</v>
      </c>
      <c r="R62" s="348">
        <f t="shared" si="8"/>
        <v>45</v>
      </c>
      <c r="S62" s="349">
        <f t="shared" si="18"/>
        <v>90</v>
      </c>
      <c r="T62" s="348">
        <f t="shared" si="9"/>
        <v>45</v>
      </c>
      <c r="U62" s="349">
        <f t="shared" si="19"/>
        <v>90</v>
      </c>
      <c r="V62" s="348">
        <f t="shared" si="20"/>
        <v>45</v>
      </c>
      <c r="W62" s="349">
        <f t="shared" si="21"/>
        <v>90</v>
      </c>
      <c r="X62" s="348">
        <f t="shared" ref="X62:X77" si="46">IF($D$54=1,$D62*2,$D62)</f>
        <v>45</v>
      </c>
      <c r="Y62" s="349">
        <f t="shared" si="22"/>
        <v>90</v>
      </c>
      <c r="Z62" s="348">
        <f t="shared" si="23"/>
        <v>22.5</v>
      </c>
      <c r="AA62" s="349">
        <f t="shared" si="10"/>
        <v>45</v>
      </c>
      <c r="AB62" s="348">
        <f>$D62/2*3</f>
        <v>67.5</v>
      </c>
      <c r="AC62" s="349">
        <f>$F62/2*3</f>
        <v>135</v>
      </c>
      <c r="AD62" s="348">
        <f>$D62/4</f>
        <v>11.25</v>
      </c>
      <c r="AE62" s="349">
        <f>$F62/4</f>
        <v>22.5</v>
      </c>
      <c r="AF62" s="348">
        <f t="shared" ref="AF62:AH77" si="47">IF($D$54=1,$D62*2,$D62)</f>
        <v>45</v>
      </c>
      <c r="AG62" s="349">
        <f t="shared" si="24"/>
        <v>90</v>
      </c>
      <c r="AH62" s="348">
        <f>IF($D$54=1,$D62*2/4,$D62/4)</f>
        <v>11.25</v>
      </c>
      <c r="AI62" s="349">
        <f>IF($D$54=1,$F62*2/4,$F62/4)</f>
        <v>22.5</v>
      </c>
      <c r="AJ62" s="348">
        <f t="shared" si="25"/>
        <v>45</v>
      </c>
      <c r="AK62" s="349">
        <f t="shared" si="26"/>
        <v>90</v>
      </c>
      <c r="AL62" s="348">
        <f t="shared" ref="AL62:AL77" si="48">IF($D$54=1,$D62*2,$D62)</f>
        <v>45</v>
      </c>
      <c r="AM62" s="349">
        <f t="shared" si="27"/>
        <v>90</v>
      </c>
      <c r="AN62" s="348">
        <f>$D62*3/4</f>
        <v>33.75</v>
      </c>
      <c r="AO62" s="349">
        <f>$F62*3/4</f>
        <v>67.5</v>
      </c>
      <c r="AP62" s="348">
        <f t="shared" ref="AP62:AR65" si="49">IF($D$54=3,$D62*2,$D62)</f>
        <v>45</v>
      </c>
      <c r="AQ62" s="349">
        <f>IF($D$54=3,$F62*2,$F62)</f>
        <v>90</v>
      </c>
      <c r="AR62" s="348">
        <f>IF($D$54=3,$D62*2*3,$D62*3)</f>
        <v>135</v>
      </c>
      <c r="AS62" s="349">
        <f>IF($D$54=3,$F62*2*3,$F62*3)</f>
        <v>270</v>
      </c>
      <c r="AT62" s="348">
        <f t="shared" si="28"/>
        <v>45</v>
      </c>
      <c r="AU62" s="349">
        <f t="shared" si="29"/>
        <v>90</v>
      </c>
      <c r="AV62" s="348">
        <f>IF($D$54=4,$D62*2/4,$D62/4/2)</f>
        <v>5.625</v>
      </c>
      <c r="AW62" s="349">
        <f>IF($D$54=4,$F62*2/4,$F62/4/2)</f>
        <v>11.25</v>
      </c>
      <c r="AX62" s="348">
        <f>IF($D$54=4,$D62*2/4,$D62/4/2)</f>
        <v>5.625</v>
      </c>
      <c r="AY62" s="349">
        <f>IF($D$54=4,$F62*2/4,$F62/4/2)</f>
        <v>11.25</v>
      </c>
      <c r="AZ62" s="348">
        <f>IF($D$54=4,$D62*2*3,$D62*3/2)</f>
        <v>67.5</v>
      </c>
      <c r="BA62" s="349">
        <f>IF($D$54=4,$F62*2*3,$F62*3/2)</f>
        <v>135</v>
      </c>
      <c r="BB62" s="348">
        <f>IF($D$54=4,$D62*2,$D62/2)</f>
        <v>22.5</v>
      </c>
      <c r="BC62" s="349">
        <f>IF($D$54=4,$F62*2,$F62/2)</f>
        <v>45</v>
      </c>
      <c r="BD62" s="348">
        <f t="shared" si="30"/>
        <v>45</v>
      </c>
      <c r="BE62" s="349">
        <f t="shared" si="31"/>
        <v>90</v>
      </c>
      <c r="BF62" s="348">
        <f>IF($D$54=3,$D62*2*3,$D62*3)</f>
        <v>135</v>
      </c>
      <c r="BG62" s="349">
        <f>IF($D$54=3,$F62*2*3,$F62*3)</f>
        <v>270</v>
      </c>
      <c r="BH62" s="348">
        <f>$D62/4</f>
        <v>11.25</v>
      </c>
      <c r="BI62" s="349">
        <f>$F62/4</f>
        <v>22.5</v>
      </c>
      <c r="BJ62" s="348">
        <f>$D62*3</f>
        <v>135</v>
      </c>
      <c r="BK62" s="349">
        <f>$F62*3</f>
        <v>270</v>
      </c>
      <c r="BL62" s="348">
        <f t="shared" si="32"/>
        <v>45</v>
      </c>
      <c r="BM62" s="349">
        <f t="shared" si="33"/>
        <v>90</v>
      </c>
      <c r="BN62" s="348">
        <f>IF($D$54=3,$D62*2,$D62)</f>
        <v>45</v>
      </c>
      <c r="BO62" s="349">
        <f>IF($D$54=3,$F62*2,$F62)</f>
        <v>90</v>
      </c>
      <c r="BP62" s="348">
        <f t="shared" si="11"/>
        <v>45</v>
      </c>
      <c r="BQ62" s="349">
        <f t="shared" si="34"/>
        <v>90</v>
      </c>
      <c r="BR62" s="348">
        <f t="shared" si="35"/>
        <v>45</v>
      </c>
      <c r="BS62" s="349">
        <f t="shared" si="36"/>
        <v>90</v>
      </c>
      <c r="BT62" s="350">
        <f t="shared" ref="BT62:BT77" si="50">IF($D$54=1,$D62*2,$D62)</f>
        <v>45</v>
      </c>
      <c r="BU62" s="349">
        <f t="shared" si="37"/>
        <v>90</v>
      </c>
      <c r="BV62" s="348">
        <f t="shared" si="38"/>
        <v>45</v>
      </c>
      <c r="BW62" s="349">
        <f t="shared" si="39"/>
        <v>90</v>
      </c>
      <c r="BX62" s="348">
        <f>IF($D$54=2,$D62*2/4,$D62/4)</f>
        <v>11.25</v>
      </c>
      <c r="BY62" s="349">
        <f>IF($D$54=2,$F62*2/4,$F62/4)</f>
        <v>22.5</v>
      </c>
      <c r="BZ62" s="350">
        <f>$D62/4</f>
        <v>11.25</v>
      </c>
      <c r="CA62" s="349">
        <f>$F62/4</f>
        <v>22.5</v>
      </c>
      <c r="CB62" s="348">
        <f>$D62</f>
        <v>45</v>
      </c>
      <c r="CC62" s="349">
        <f>$F62</f>
        <v>90</v>
      </c>
      <c r="CD62" s="348">
        <f>IF($D$54=3,$D62*2*3,$D62*3)</f>
        <v>135</v>
      </c>
      <c r="CE62" s="349">
        <f>IF($D$54=3,$F62*2*3,$F62*3)</f>
        <v>270</v>
      </c>
      <c r="CF62" s="348">
        <f t="shared" ref="CF62:CF77" si="51">IF($D$54=1,$D62*2,$D62)</f>
        <v>45</v>
      </c>
      <c r="CG62" s="349">
        <f t="shared" si="40"/>
        <v>90</v>
      </c>
      <c r="CH62" s="350">
        <f>$D62/4</f>
        <v>11.25</v>
      </c>
      <c r="CI62" s="349">
        <f>$F62/4</f>
        <v>22.5</v>
      </c>
      <c r="CJ62" s="348">
        <f>IF($D$54=1,$D62*2,$D62)</f>
        <v>45</v>
      </c>
      <c r="CK62" s="349">
        <f>IF($D$54=1,$F62*2,$F62)</f>
        <v>90</v>
      </c>
      <c r="CL62" s="348">
        <f>IF($D$54=2,$D62*2*3,$D62*3)</f>
        <v>135</v>
      </c>
      <c r="CM62" s="349">
        <f>IF($D$54=2,$F62*2*3,$F62*3)</f>
        <v>270</v>
      </c>
      <c r="CN62" s="350">
        <f t="shared" si="12"/>
        <v>45</v>
      </c>
      <c r="CO62" s="349">
        <f t="shared" si="41"/>
        <v>90</v>
      </c>
      <c r="CP62" s="348">
        <f t="shared" si="12"/>
        <v>45</v>
      </c>
      <c r="CQ62" s="349">
        <f t="shared" si="42"/>
        <v>90</v>
      </c>
      <c r="CR62" s="348">
        <f t="shared" si="12"/>
        <v>45</v>
      </c>
      <c r="CS62" s="349">
        <f t="shared" si="43"/>
        <v>90</v>
      </c>
    </row>
    <row r="63" spans="1:97">
      <c r="A63" s="107" t="s">
        <v>511</v>
      </c>
      <c r="B63" s="238">
        <v>10</v>
      </c>
      <c r="C63" s="238">
        <v>40</v>
      </c>
      <c r="D63" s="344">
        <f t="shared" si="44"/>
        <v>30</v>
      </c>
      <c r="E63" s="345">
        <f t="shared" si="13"/>
        <v>75</v>
      </c>
      <c r="F63" s="347">
        <f t="shared" si="45"/>
        <v>120</v>
      </c>
      <c r="G63" s="70"/>
      <c r="H63" s="350">
        <f t="shared" si="3"/>
        <v>30</v>
      </c>
      <c r="I63" s="349">
        <f t="shared" si="14"/>
        <v>120</v>
      </c>
      <c r="J63" s="348">
        <f t="shared" si="4"/>
        <v>30</v>
      </c>
      <c r="K63" s="349">
        <f t="shared" si="14"/>
        <v>120</v>
      </c>
      <c r="L63" s="348">
        <f t="shared" si="5"/>
        <v>30</v>
      </c>
      <c r="M63" s="349">
        <f t="shared" si="15"/>
        <v>120</v>
      </c>
      <c r="N63" s="348">
        <f t="shared" si="6"/>
        <v>30</v>
      </c>
      <c r="O63" s="349">
        <f t="shared" si="16"/>
        <v>120</v>
      </c>
      <c r="P63" s="348">
        <f t="shared" si="7"/>
        <v>30</v>
      </c>
      <c r="Q63" s="349">
        <f t="shared" si="17"/>
        <v>120</v>
      </c>
      <c r="R63" s="348">
        <f t="shared" si="8"/>
        <v>30</v>
      </c>
      <c r="S63" s="349">
        <f t="shared" si="18"/>
        <v>120</v>
      </c>
      <c r="T63" s="348">
        <f t="shared" si="9"/>
        <v>30</v>
      </c>
      <c r="U63" s="349">
        <f t="shared" si="19"/>
        <v>120</v>
      </c>
      <c r="V63" s="348">
        <f t="shared" si="20"/>
        <v>30</v>
      </c>
      <c r="W63" s="349">
        <f t="shared" si="21"/>
        <v>120</v>
      </c>
      <c r="X63" s="348">
        <f t="shared" si="46"/>
        <v>30</v>
      </c>
      <c r="Y63" s="349">
        <f t="shared" si="22"/>
        <v>120</v>
      </c>
      <c r="Z63" s="348">
        <f t="shared" si="23"/>
        <v>15</v>
      </c>
      <c r="AA63" s="349">
        <f t="shared" si="10"/>
        <v>60</v>
      </c>
      <c r="AB63" s="348">
        <f>$D63/2</f>
        <v>15</v>
      </c>
      <c r="AC63" s="349">
        <f>$F63/2</f>
        <v>60</v>
      </c>
      <c r="AD63" s="348">
        <f>$D63/4</f>
        <v>7.5</v>
      </c>
      <c r="AE63" s="349">
        <f>$F63/4</f>
        <v>30</v>
      </c>
      <c r="AF63" s="348">
        <f t="shared" si="47"/>
        <v>30</v>
      </c>
      <c r="AG63" s="349">
        <f t="shared" si="24"/>
        <v>120</v>
      </c>
      <c r="AH63" s="348">
        <f>IF($D$54=1,$D63*2*3,$D63*3)</f>
        <v>90</v>
      </c>
      <c r="AI63" s="349">
        <f>IF($D$54=1,$F63*2*3,$F63*3)</f>
        <v>360</v>
      </c>
      <c r="AJ63" s="348">
        <f t="shared" si="25"/>
        <v>30</v>
      </c>
      <c r="AK63" s="349">
        <f t="shared" si="26"/>
        <v>120</v>
      </c>
      <c r="AL63" s="348">
        <f t="shared" si="48"/>
        <v>30</v>
      </c>
      <c r="AM63" s="349">
        <f t="shared" si="27"/>
        <v>120</v>
      </c>
      <c r="AN63" s="348">
        <f>$D63/4</f>
        <v>7.5</v>
      </c>
      <c r="AO63" s="349">
        <f>$F63/4</f>
        <v>30</v>
      </c>
      <c r="AP63" s="348">
        <f>IF($D$54=3,$D63*2/4,$D63/4)</f>
        <v>7.5</v>
      </c>
      <c r="AQ63" s="349">
        <f>IF($D$54=3,$F63*2/4,$F63/4)</f>
        <v>30</v>
      </c>
      <c r="AR63" s="348">
        <f t="shared" si="49"/>
        <v>30</v>
      </c>
      <c r="AS63" s="349">
        <f>IF($D$54=3,$F63*2,$F63)</f>
        <v>120</v>
      </c>
      <c r="AT63" s="348">
        <f t="shared" si="28"/>
        <v>30</v>
      </c>
      <c r="AU63" s="349">
        <f t="shared" si="29"/>
        <v>120</v>
      </c>
      <c r="AV63" s="348">
        <f>IF($D$54=4,$D63*2/4,$D63/4/2)</f>
        <v>3.75</v>
      </c>
      <c r="AW63" s="349">
        <f>IF($D$54=4,$F63*2/4,$F63/4/2)</f>
        <v>15</v>
      </c>
      <c r="AX63" s="348">
        <f>IF($D$54=4,$D63*2*3,$D63*3/2)</f>
        <v>45</v>
      </c>
      <c r="AY63" s="349">
        <f>IF($D$54=4,$F63*2*3,$F63*3/2)</f>
        <v>180</v>
      </c>
      <c r="AZ63" s="348">
        <f>IF($D$54=4,$D63*2,$D63/2)</f>
        <v>15</v>
      </c>
      <c r="BA63" s="349">
        <f>IF($D$54=4,$F63*2,$F63/2)</f>
        <v>60</v>
      </c>
      <c r="BB63" s="348">
        <f>IF($D$54=4,$D63*2/4,$D63/4/2)</f>
        <v>3.75</v>
      </c>
      <c r="BC63" s="349">
        <f>IF($D$54=4,$F63*2/4,$F63/4/2)</f>
        <v>15</v>
      </c>
      <c r="BD63" s="348">
        <f t="shared" si="30"/>
        <v>30</v>
      </c>
      <c r="BE63" s="349">
        <f t="shared" si="31"/>
        <v>120</v>
      </c>
      <c r="BF63" s="348">
        <f>IF($D$54=3,$D63*2,$D63)</f>
        <v>30</v>
      </c>
      <c r="BG63" s="349">
        <f>IF($D$54=3,$F63*2,$F63)</f>
        <v>120</v>
      </c>
      <c r="BH63" s="348">
        <f>$D63*3</f>
        <v>90</v>
      </c>
      <c r="BI63" s="349">
        <f>$F63*3</f>
        <v>360</v>
      </c>
      <c r="BJ63" s="348">
        <f>$D63</f>
        <v>30</v>
      </c>
      <c r="BK63" s="349">
        <f>$F63</f>
        <v>120</v>
      </c>
      <c r="BL63" s="348">
        <f t="shared" si="32"/>
        <v>30</v>
      </c>
      <c r="BM63" s="349">
        <f t="shared" si="33"/>
        <v>120</v>
      </c>
      <c r="BN63" s="348">
        <f>IF($D$54=3,$D63*2/4,$D63/4)</f>
        <v>7.5</v>
      </c>
      <c r="BO63" s="349">
        <f>IF($D$54=3,$F63*2/4,$F63/4)</f>
        <v>30</v>
      </c>
      <c r="BP63" s="348">
        <f t="shared" si="11"/>
        <v>30</v>
      </c>
      <c r="BQ63" s="349">
        <f t="shared" si="34"/>
        <v>120</v>
      </c>
      <c r="BR63" s="348">
        <f t="shared" si="35"/>
        <v>30</v>
      </c>
      <c r="BS63" s="349">
        <f t="shared" si="36"/>
        <v>120</v>
      </c>
      <c r="BT63" s="350">
        <f t="shared" si="50"/>
        <v>30</v>
      </c>
      <c r="BU63" s="349">
        <f t="shared" si="37"/>
        <v>120</v>
      </c>
      <c r="BV63" s="348">
        <f t="shared" si="38"/>
        <v>30</v>
      </c>
      <c r="BW63" s="349">
        <f t="shared" si="39"/>
        <v>120</v>
      </c>
      <c r="BX63" s="348">
        <f>IF($D$54=2,$D63*2*3/4,$D63*3/4)</f>
        <v>22.5</v>
      </c>
      <c r="BY63" s="349">
        <f>IF($D$54=2,$F63*2*3/4,$F63*3/4)</f>
        <v>90</v>
      </c>
      <c r="BZ63" s="350">
        <f>$D63/4</f>
        <v>7.5</v>
      </c>
      <c r="CA63" s="349">
        <f>$F63/4</f>
        <v>30</v>
      </c>
      <c r="CB63" s="348">
        <f>$D63/4</f>
        <v>7.5</v>
      </c>
      <c r="CC63" s="349">
        <f>$F63/4</f>
        <v>30</v>
      </c>
      <c r="CD63" s="348">
        <f>IF($D$54=3,$D63*2,$D63)</f>
        <v>30</v>
      </c>
      <c r="CE63" s="349">
        <f>IF($D$54=3,$F63*2,$F63)</f>
        <v>120</v>
      </c>
      <c r="CF63" s="348">
        <f t="shared" si="51"/>
        <v>30</v>
      </c>
      <c r="CG63" s="349">
        <f t="shared" si="40"/>
        <v>120</v>
      </c>
      <c r="CH63" s="350">
        <f>$D63/4</f>
        <v>7.5</v>
      </c>
      <c r="CI63" s="349">
        <f>$F63/4</f>
        <v>30</v>
      </c>
      <c r="CJ63" s="348">
        <f>IF($D$54=1,$D63*2/4,$D63/4)</f>
        <v>7.5</v>
      </c>
      <c r="CK63" s="349">
        <f>IF($D$54=1,$F63*2/4,$F63/4)</f>
        <v>30</v>
      </c>
      <c r="CL63" s="348">
        <f>IF($D$54=2,$D63*2,$D63)</f>
        <v>30</v>
      </c>
      <c r="CM63" s="349">
        <f>IF($D$54=2,$F63*2,$F63)</f>
        <v>120</v>
      </c>
      <c r="CN63" s="350">
        <f t="shared" si="12"/>
        <v>30</v>
      </c>
      <c r="CO63" s="349">
        <f t="shared" si="41"/>
        <v>120</v>
      </c>
      <c r="CP63" s="348">
        <f t="shared" si="12"/>
        <v>30</v>
      </c>
      <c r="CQ63" s="349">
        <f t="shared" si="42"/>
        <v>120</v>
      </c>
      <c r="CR63" s="348">
        <f t="shared" si="12"/>
        <v>30</v>
      </c>
      <c r="CS63" s="349">
        <f t="shared" si="43"/>
        <v>120</v>
      </c>
    </row>
    <row r="64" spans="1:97">
      <c r="A64" s="25" t="s">
        <v>371</v>
      </c>
      <c r="B64" s="238">
        <v>20</v>
      </c>
      <c r="C64" s="238">
        <v>25</v>
      </c>
      <c r="D64" s="344">
        <f t="shared" si="44"/>
        <v>60</v>
      </c>
      <c r="E64" s="345">
        <f t="shared" si="13"/>
        <v>67.5</v>
      </c>
      <c r="F64" s="347">
        <f t="shared" si="45"/>
        <v>75</v>
      </c>
      <c r="G64" s="70"/>
      <c r="H64" s="350">
        <f t="shared" si="3"/>
        <v>60</v>
      </c>
      <c r="I64" s="349">
        <f t="shared" si="14"/>
        <v>75</v>
      </c>
      <c r="J64" s="348">
        <f t="shared" si="4"/>
        <v>60</v>
      </c>
      <c r="K64" s="349">
        <f t="shared" si="14"/>
        <v>75</v>
      </c>
      <c r="L64" s="348">
        <f t="shared" si="5"/>
        <v>60</v>
      </c>
      <c r="M64" s="349">
        <f t="shared" si="15"/>
        <v>75</v>
      </c>
      <c r="N64" s="348">
        <f t="shared" si="6"/>
        <v>60</v>
      </c>
      <c r="O64" s="349">
        <f t="shared" si="16"/>
        <v>75</v>
      </c>
      <c r="P64" s="348">
        <f t="shared" si="7"/>
        <v>60</v>
      </c>
      <c r="Q64" s="349">
        <f t="shared" si="17"/>
        <v>75</v>
      </c>
      <c r="R64" s="348">
        <f t="shared" si="8"/>
        <v>60</v>
      </c>
      <c r="S64" s="349">
        <f t="shared" si="18"/>
        <v>75</v>
      </c>
      <c r="T64" s="348">
        <f t="shared" si="9"/>
        <v>60</v>
      </c>
      <c r="U64" s="349">
        <f t="shared" si="19"/>
        <v>75</v>
      </c>
      <c r="V64" s="348">
        <f t="shared" si="20"/>
        <v>60</v>
      </c>
      <c r="W64" s="349">
        <f t="shared" si="21"/>
        <v>75</v>
      </c>
      <c r="X64" s="348">
        <f t="shared" si="46"/>
        <v>60</v>
      </c>
      <c r="Y64" s="349">
        <f t="shared" si="22"/>
        <v>75</v>
      </c>
      <c r="Z64" s="348">
        <f t="shared" si="23"/>
        <v>30</v>
      </c>
      <c r="AA64" s="349">
        <f t="shared" si="10"/>
        <v>37.5</v>
      </c>
      <c r="AB64" s="348">
        <f>$D64/2</f>
        <v>30</v>
      </c>
      <c r="AC64" s="349">
        <f>$F64/2</f>
        <v>37.5</v>
      </c>
      <c r="AD64" s="348">
        <f>$D64</f>
        <v>60</v>
      </c>
      <c r="AE64" s="349">
        <f>$F64</f>
        <v>75</v>
      </c>
      <c r="AF64" s="348">
        <f t="shared" si="47"/>
        <v>60</v>
      </c>
      <c r="AG64" s="349">
        <f t="shared" si="24"/>
        <v>75</v>
      </c>
      <c r="AH64" s="348">
        <f t="shared" si="47"/>
        <v>60</v>
      </c>
      <c r="AI64" s="349">
        <f>IF($D$54=1,$F64*2,$F64)</f>
        <v>75</v>
      </c>
      <c r="AJ64" s="348">
        <f t="shared" si="25"/>
        <v>60</v>
      </c>
      <c r="AK64" s="349">
        <f t="shared" si="26"/>
        <v>75</v>
      </c>
      <c r="AL64" s="348">
        <f t="shared" si="48"/>
        <v>60</v>
      </c>
      <c r="AM64" s="349">
        <f t="shared" si="27"/>
        <v>75</v>
      </c>
      <c r="AN64" s="348">
        <f>$D64</f>
        <v>60</v>
      </c>
      <c r="AO64" s="349">
        <f>$F64</f>
        <v>75</v>
      </c>
      <c r="AP64" s="348">
        <f t="shared" si="49"/>
        <v>60</v>
      </c>
      <c r="AQ64" s="349">
        <f>IF($D$54=3,$F64*2,$F64)</f>
        <v>75</v>
      </c>
      <c r="AR64" s="348">
        <f t="shared" si="49"/>
        <v>60</v>
      </c>
      <c r="AS64" s="349">
        <f>IF($D$54=3,$F64*2,$F64)</f>
        <v>75</v>
      </c>
      <c r="AT64" s="348">
        <f t="shared" si="28"/>
        <v>60</v>
      </c>
      <c r="AU64" s="349">
        <f t="shared" si="29"/>
        <v>75</v>
      </c>
      <c r="AV64" s="348">
        <f>IF($D$54=4,$D64*2,$D64/2)</f>
        <v>30</v>
      </c>
      <c r="AW64" s="349">
        <f>IF($D$54=4,$F64*2,$F64/2)</f>
        <v>37.5</v>
      </c>
      <c r="AX64" s="348">
        <f t="shared" ref="AX64:BB65" si="52">IF($D$54=4,$D64*2,$D64/2)</f>
        <v>30</v>
      </c>
      <c r="AY64" s="349">
        <f>IF($D$54=4,$F64*2,$F64/2)</f>
        <v>37.5</v>
      </c>
      <c r="AZ64" s="348">
        <f t="shared" si="52"/>
        <v>30</v>
      </c>
      <c r="BA64" s="349">
        <f>IF($D$54=4,$F64*2,$F64/2)</f>
        <v>37.5</v>
      </c>
      <c r="BB64" s="348">
        <f t="shared" si="52"/>
        <v>30</v>
      </c>
      <c r="BC64" s="349">
        <f>IF($D$54=4,$F64*2,$F64/2)</f>
        <v>37.5</v>
      </c>
      <c r="BD64" s="348">
        <f t="shared" si="30"/>
        <v>60</v>
      </c>
      <c r="BE64" s="349">
        <f t="shared" si="31"/>
        <v>75</v>
      </c>
      <c r="BF64" s="348">
        <f>IF($D$54=3,$D64*2,$D64)</f>
        <v>60</v>
      </c>
      <c r="BG64" s="349">
        <f>IF($D$54=3,$F64*2,$F64)</f>
        <v>75</v>
      </c>
      <c r="BH64" s="348">
        <f>$D64</f>
        <v>60</v>
      </c>
      <c r="BI64" s="349">
        <f>$F64</f>
        <v>75</v>
      </c>
      <c r="BJ64" s="348">
        <f>$D64</f>
        <v>60</v>
      </c>
      <c r="BK64" s="349">
        <f>$F64</f>
        <v>75</v>
      </c>
      <c r="BL64" s="348">
        <f t="shared" si="32"/>
        <v>60</v>
      </c>
      <c r="BM64" s="349">
        <f t="shared" si="33"/>
        <v>75</v>
      </c>
      <c r="BN64" s="348">
        <f>IF($D$54=3,$D64*2,$D64)</f>
        <v>60</v>
      </c>
      <c r="BO64" s="349">
        <f>IF($D$54=3,$F64*2,$F64)</f>
        <v>75</v>
      </c>
      <c r="BP64" s="348">
        <f t="shared" si="11"/>
        <v>60</v>
      </c>
      <c r="BQ64" s="349">
        <f t="shared" si="34"/>
        <v>75</v>
      </c>
      <c r="BR64" s="348">
        <f t="shared" si="35"/>
        <v>60</v>
      </c>
      <c r="BS64" s="349">
        <f t="shared" si="36"/>
        <v>75</v>
      </c>
      <c r="BT64" s="350">
        <f t="shared" si="50"/>
        <v>60</v>
      </c>
      <c r="BU64" s="349">
        <f t="shared" si="37"/>
        <v>75</v>
      </c>
      <c r="BV64" s="348">
        <f t="shared" si="38"/>
        <v>60</v>
      </c>
      <c r="BW64" s="349">
        <f t="shared" si="39"/>
        <v>75</v>
      </c>
      <c r="BX64" s="348">
        <f>IF($D$54=2,$D64*2,$D64)</f>
        <v>60</v>
      </c>
      <c r="BY64" s="349">
        <f>IF($D$54=2,$F64*2,$F64)</f>
        <v>75</v>
      </c>
      <c r="BZ64" s="350">
        <f>$D64</f>
        <v>60</v>
      </c>
      <c r="CA64" s="349">
        <f>$F64</f>
        <v>75</v>
      </c>
      <c r="CB64" s="348">
        <f>$D64</f>
        <v>60</v>
      </c>
      <c r="CC64" s="349">
        <f>$F64</f>
        <v>75</v>
      </c>
      <c r="CD64" s="348">
        <f>IF($D$54=3,$D64*2,$D64)</f>
        <v>60</v>
      </c>
      <c r="CE64" s="349">
        <f>IF($D$54=3,$F64*2,$F64)</f>
        <v>75</v>
      </c>
      <c r="CF64" s="348">
        <f t="shared" si="51"/>
        <v>60</v>
      </c>
      <c r="CG64" s="349">
        <f t="shared" si="40"/>
        <v>75</v>
      </c>
      <c r="CH64" s="350">
        <f>$D64</f>
        <v>60</v>
      </c>
      <c r="CI64" s="349">
        <f>$F64</f>
        <v>75</v>
      </c>
      <c r="CJ64" s="348">
        <f>IF($D$54=1,$D64*2,$D64)</f>
        <v>60</v>
      </c>
      <c r="CK64" s="349">
        <f>IF($D$54=1,$F64*2,$F64)</f>
        <v>75</v>
      </c>
      <c r="CL64" s="348">
        <f>IF($D$54=2,$D64*2,$D64)</f>
        <v>60</v>
      </c>
      <c r="CM64" s="349">
        <f>IF($D$54=2,$F64*2,$F64)</f>
        <v>75</v>
      </c>
      <c r="CN64" s="350">
        <f t="shared" si="12"/>
        <v>60</v>
      </c>
      <c r="CO64" s="349">
        <f t="shared" si="41"/>
        <v>75</v>
      </c>
      <c r="CP64" s="348">
        <f t="shared" si="12"/>
        <v>60</v>
      </c>
      <c r="CQ64" s="349">
        <f t="shared" si="42"/>
        <v>75</v>
      </c>
      <c r="CR64" s="348">
        <f t="shared" si="12"/>
        <v>60</v>
      </c>
      <c r="CS64" s="349">
        <f t="shared" si="43"/>
        <v>75</v>
      </c>
    </row>
    <row r="65" spans="1:97">
      <c r="A65" s="27" t="s">
        <v>81</v>
      </c>
      <c r="B65" s="326">
        <v>20</v>
      </c>
      <c r="C65" s="326">
        <v>30</v>
      </c>
      <c r="D65" s="351">
        <f>ROUNDDOWN(B65*(1+$D$53*0.1),0)</f>
        <v>60</v>
      </c>
      <c r="E65" s="352">
        <f t="shared" si="13"/>
        <v>75</v>
      </c>
      <c r="F65" s="353">
        <f>C65*(1+$D$53*0.1)</f>
        <v>90</v>
      </c>
      <c r="G65" s="73"/>
      <c r="H65" s="354">
        <f t="shared" si="3"/>
        <v>60</v>
      </c>
      <c r="I65" s="355">
        <f t="shared" si="14"/>
        <v>90</v>
      </c>
      <c r="J65" s="356">
        <f t="shared" si="4"/>
        <v>60</v>
      </c>
      <c r="K65" s="355">
        <f t="shared" si="14"/>
        <v>90</v>
      </c>
      <c r="L65" s="356">
        <f t="shared" si="5"/>
        <v>60</v>
      </c>
      <c r="M65" s="355">
        <f t="shared" si="15"/>
        <v>90</v>
      </c>
      <c r="N65" s="356">
        <f t="shared" si="6"/>
        <v>60</v>
      </c>
      <c r="O65" s="355">
        <f t="shared" si="16"/>
        <v>90</v>
      </c>
      <c r="P65" s="356">
        <f t="shared" si="7"/>
        <v>60</v>
      </c>
      <c r="Q65" s="355">
        <f t="shared" si="17"/>
        <v>90</v>
      </c>
      <c r="R65" s="356">
        <f t="shared" si="8"/>
        <v>60</v>
      </c>
      <c r="S65" s="355">
        <f t="shared" si="18"/>
        <v>90</v>
      </c>
      <c r="T65" s="356">
        <f t="shared" si="9"/>
        <v>60</v>
      </c>
      <c r="U65" s="355">
        <f t="shared" si="19"/>
        <v>90</v>
      </c>
      <c r="V65" s="356">
        <f t="shared" si="20"/>
        <v>60</v>
      </c>
      <c r="W65" s="355">
        <f t="shared" si="21"/>
        <v>90</v>
      </c>
      <c r="X65" s="356">
        <f t="shared" si="46"/>
        <v>60</v>
      </c>
      <c r="Y65" s="355">
        <f t="shared" si="22"/>
        <v>90</v>
      </c>
      <c r="Z65" s="356">
        <f t="shared" si="23"/>
        <v>30</v>
      </c>
      <c r="AA65" s="355">
        <f t="shared" si="10"/>
        <v>45</v>
      </c>
      <c r="AB65" s="356">
        <f>$D65/2</f>
        <v>30</v>
      </c>
      <c r="AC65" s="355">
        <f>$F65/2</f>
        <v>45</v>
      </c>
      <c r="AD65" s="356">
        <f>$D65</f>
        <v>60</v>
      </c>
      <c r="AE65" s="355">
        <f>$F65</f>
        <v>90</v>
      </c>
      <c r="AF65" s="356">
        <f t="shared" si="47"/>
        <v>60</v>
      </c>
      <c r="AG65" s="355">
        <f t="shared" si="24"/>
        <v>90</v>
      </c>
      <c r="AH65" s="356">
        <f t="shared" si="47"/>
        <v>60</v>
      </c>
      <c r="AI65" s="355">
        <f>IF($D$54=1,$F65*2,$F65)</f>
        <v>90</v>
      </c>
      <c r="AJ65" s="356">
        <f t="shared" si="25"/>
        <v>60</v>
      </c>
      <c r="AK65" s="355">
        <f t="shared" si="26"/>
        <v>90</v>
      </c>
      <c r="AL65" s="356">
        <f t="shared" si="48"/>
        <v>60</v>
      </c>
      <c r="AM65" s="355">
        <f t="shared" si="27"/>
        <v>90</v>
      </c>
      <c r="AN65" s="356">
        <f>$D65</f>
        <v>60</v>
      </c>
      <c r="AO65" s="355">
        <f>$F65</f>
        <v>90</v>
      </c>
      <c r="AP65" s="356">
        <f t="shared" si="49"/>
        <v>60</v>
      </c>
      <c r="AQ65" s="355">
        <f>IF($D$54=3,$F65*2,$F65)</f>
        <v>90</v>
      </c>
      <c r="AR65" s="356">
        <f t="shared" si="49"/>
        <v>60</v>
      </c>
      <c r="AS65" s="355">
        <f>IF($D$54=3,$F65*2,$F65)</f>
        <v>90</v>
      </c>
      <c r="AT65" s="356">
        <f t="shared" si="28"/>
        <v>60</v>
      </c>
      <c r="AU65" s="355">
        <f t="shared" si="29"/>
        <v>90</v>
      </c>
      <c r="AV65" s="356">
        <f>IF($D$54=4,$D65*2,$D65/2)</f>
        <v>30</v>
      </c>
      <c r="AW65" s="355">
        <f>IF($D$54=4,$F65*2,$F65/2)</f>
        <v>45</v>
      </c>
      <c r="AX65" s="356">
        <f t="shared" si="52"/>
        <v>30</v>
      </c>
      <c r="AY65" s="355">
        <f>IF($D$54=4,$F65*2,$F65/2)</f>
        <v>45</v>
      </c>
      <c r="AZ65" s="356">
        <f t="shared" si="52"/>
        <v>30</v>
      </c>
      <c r="BA65" s="355">
        <f>IF($D$54=4,$F65*2,$F65/2)</f>
        <v>45</v>
      </c>
      <c r="BB65" s="356">
        <f t="shared" si="52"/>
        <v>30</v>
      </c>
      <c r="BC65" s="355">
        <f>IF($D$54=4,$F65*2,$F65/2)</f>
        <v>45</v>
      </c>
      <c r="BD65" s="356">
        <f t="shared" si="30"/>
        <v>60</v>
      </c>
      <c r="BE65" s="355">
        <f t="shared" si="31"/>
        <v>90</v>
      </c>
      <c r="BF65" s="356">
        <f>IF($D$54=3,$D65*2,$D65)</f>
        <v>60</v>
      </c>
      <c r="BG65" s="355">
        <f>IF($D$54=3,$F65*2,$F65)</f>
        <v>90</v>
      </c>
      <c r="BH65" s="356">
        <f>$D65</f>
        <v>60</v>
      </c>
      <c r="BI65" s="355">
        <f>$F65</f>
        <v>90</v>
      </c>
      <c r="BJ65" s="356">
        <f>$D65</f>
        <v>60</v>
      </c>
      <c r="BK65" s="355">
        <f>$F65</f>
        <v>90</v>
      </c>
      <c r="BL65" s="356">
        <f t="shared" si="32"/>
        <v>60</v>
      </c>
      <c r="BM65" s="355">
        <f t="shared" si="33"/>
        <v>90</v>
      </c>
      <c r="BN65" s="356">
        <f>IF($D$54=3,$D65*2,$D65)</f>
        <v>60</v>
      </c>
      <c r="BO65" s="355">
        <f>IF($D$54=3,$F65*2,$F65)</f>
        <v>90</v>
      </c>
      <c r="BP65" s="356">
        <f t="shared" si="11"/>
        <v>60</v>
      </c>
      <c r="BQ65" s="355">
        <f t="shared" si="34"/>
        <v>90</v>
      </c>
      <c r="BR65" s="356">
        <f t="shared" si="35"/>
        <v>60</v>
      </c>
      <c r="BS65" s="355">
        <f t="shared" si="36"/>
        <v>90</v>
      </c>
      <c r="BT65" s="354">
        <f t="shared" si="50"/>
        <v>60</v>
      </c>
      <c r="BU65" s="355">
        <f t="shared" si="37"/>
        <v>90</v>
      </c>
      <c r="BV65" s="356">
        <f t="shared" si="38"/>
        <v>60</v>
      </c>
      <c r="BW65" s="355">
        <f t="shared" si="39"/>
        <v>90</v>
      </c>
      <c r="BX65" s="356">
        <f>IF($D$54=2,$D65*2,$D65)</f>
        <v>60</v>
      </c>
      <c r="BY65" s="355">
        <f>IF($D$54=2,$F65*2,$F65)</f>
        <v>90</v>
      </c>
      <c r="BZ65" s="354">
        <f>$D65</f>
        <v>60</v>
      </c>
      <c r="CA65" s="355">
        <f>$F65</f>
        <v>90</v>
      </c>
      <c r="CB65" s="356">
        <f>$D65</f>
        <v>60</v>
      </c>
      <c r="CC65" s="355">
        <f>$F65</f>
        <v>90</v>
      </c>
      <c r="CD65" s="356">
        <f>IF($D$54=3,$D65*2,$D65)</f>
        <v>60</v>
      </c>
      <c r="CE65" s="355">
        <f>IF($D$54=3,$F65*2,$F65)</f>
        <v>90</v>
      </c>
      <c r="CF65" s="356">
        <f t="shared" si="51"/>
        <v>60</v>
      </c>
      <c r="CG65" s="355">
        <f t="shared" si="40"/>
        <v>90</v>
      </c>
      <c r="CH65" s="354">
        <f>$D65</f>
        <v>60</v>
      </c>
      <c r="CI65" s="355">
        <f>$F65</f>
        <v>90</v>
      </c>
      <c r="CJ65" s="356">
        <f>IF($D$54=1,$D65*2,$D65)</f>
        <v>60</v>
      </c>
      <c r="CK65" s="355">
        <f>IF($D$54=1,$F65*2,$F65)</f>
        <v>90</v>
      </c>
      <c r="CL65" s="356">
        <f>IF($D$54=2,$D65*2,$D65)</f>
        <v>60</v>
      </c>
      <c r="CM65" s="355">
        <f>IF($D$54=2,$F65*2,$F65)</f>
        <v>90</v>
      </c>
      <c r="CN65" s="354">
        <f t="shared" si="12"/>
        <v>60</v>
      </c>
      <c r="CO65" s="355">
        <f t="shared" si="41"/>
        <v>90</v>
      </c>
      <c r="CP65" s="356">
        <f t="shared" si="12"/>
        <v>60</v>
      </c>
      <c r="CQ65" s="355">
        <f t="shared" si="42"/>
        <v>90</v>
      </c>
      <c r="CR65" s="356">
        <f t="shared" si="12"/>
        <v>60</v>
      </c>
      <c r="CS65" s="355">
        <f t="shared" si="43"/>
        <v>90</v>
      </c>
    </row>
    <row r="66" spans="1:97">
      <c r="A66" s="105" t="s">
        <v>114</v>
      </c>
      <c r="B66" s="238">
        <v>30</v>
      </c>
      <c r="C66" s="238">
        <v>80</v>
      </c>
      <c r="D66" s="344">
        <f>ROUNDDOWN(B66*(1+$D$53*0.1),0)</f>
        <v>90</v>
      </c>
      <c r="E66" s="345">
        <f t="shared" si="13"/>
        <v>165</v>
      </c>
      <c r="F66" s="347">
        <f>C66*(1+$D$53*0.1)</f>
        <v>240</v>
      </c>
      <c r="G66" s="70"/>
      <c r="H66" s="350">
        <f t="shared" si="3"/>
        <v>90</v>
      </c>
      <c r="I66" s="349">
        <f t="shared" si="14"/>
        <v>240</v>
      </c>
      <c r="J66" s="348">
        <f t="shared" si="4"/>
        <v>90</v>
      </c>
      <c r="K66" s="349">
        <f t="shared" si="14"/>
        <v>240</v>
      </c>
      <c r="L66" s="348">
        <f t="shared" si="5"/>
        <v>90</v>
      </c>
      <c r="M66" s="349">
        <f t="shared" si="15"/>
        <v>240</v>
      </c>
      <c r="N66" s="348">
        <f t="shared" si="6"/>
        <v>90</v>
      </c>
      <c r="O66" s="349">
        <f t="shared" si="16"/>
        <v>240</v>
      </c>
      <c r="P66" s="348">
        <f t="shared" si="7"/>
        <v>90</v>
      </c>
      <c r="Q66" s="349">
        <f t="shared" si="17"/>
        <v>240</v>
      </c>
      <c r="R66" s="348">
        <f t="shared" si="8"/>
        <v>90</v>
      </c>
      <c r="S66" s="349">
        <f t="shared" si="18"/>
        <v>240</v>
      </c>
      <c r="T66" s="348">
        <f t="shared" si="9"/>
        <v>90</v>
      </c>
      <c r="U66" s="349">
        <f t="shared" si="19"/>
        <v>240</v>
      </c>
      <c r="V66" s="348">
        <f t="shared" si="20"/>
        <v>90</v>
      </c>
      <c r="W66" s="349">
        <f t="shared" si="21"/>
        <v>240</v>
      </c>
      <c r="X66" s="348">
        <f t="shared" si="46"/>
        <v>90</v>
      </c>
      <c r="Y66" s="349">
        <f t="shared" si="22"/>
        <v>240</v>
      </c>
      <c r="Z66" s="348">
        <f t="shared" si="23"/>
        <v>45</v>
      </c>
      <c r="AA66" s="349">
        <f t="shared" si="10"/>
        <v>120</v>
      </c>
      <c r="AB66" s="348">
        <f>$D66/2/4</f>
        <v>11.25</v>
      </c>
      <c r="AC66" s="349">
        <f>$F66/2/4</f>
        <v>30</v>
      </c>
      <c r="AD66" s="348">
        <f>$D66</f>
        <v>90</v>
      </c>
      <c r="AE66" s="349">
        <f>$F66</f>
        <v>240</v>
      </c>
      <c r="AF66" s="348">
        <f t="shared" si="47"/>
        <v>90</v>
      </c>
      <c r="AG66" s="349">
        <f t="shared" si="24"/>
        <v>240</v>
      </c>
      <c r="AH66" s="348">
        <f>IF($D$54=1,$D66*2/4,$D66/4)</f>
        <v>22.5</v>
      </c>
      <c r="AI66" s="349">
        <f>IF($D$54=1,$F66*2/4,$F66/4)</f>
        <v>60</v>
      </c>
      <c r="AJ66" s="348">
        <f t="shared" si="25"/>
        <v>90</v>
      </c>
      <c r="AK66" s="349">
        <f t="shared" si="26"/>
        <v>240</v>
      </c>
      <c r="AL66" s="348">
        <f t="shared" si="48"/>
        <v>90</v>
      </c>
      <c r="AM66" s="349">
        <f t="shared" si="27"/>
        <v>240</v>
      </c>
      <c r="AN66" s="348">
        <f>$D66/4</f>
        <v>22.5</v>
      </c>
      <c r="AO66" s="349">
        <f>$F66/4</f>
        <v>60</v>
      </c>
      <c r="AP66" s="348">
        <f>IF($D$54=3,$D66*2*3,$D66*3)</f>
        <v>270</v>
      </c>
      <c r="AQ66" s="349">
        <f>IF($D$54=3,$F66*2*3,$F66*3)</f>
        <v>720</v>
      </c>
      <c r="AR66" s="348">
        <f>IF($D$54=3,$D66*2/4,$D66/4)</f>
        <v>22.5</v>
      </c>
      <c r="AS66" s="349">
        <f>IF($D$54=3,$F66*2/4,$F66/4)</f>
        <v>60</v>
      </c>
      <c r="AT66" s="348">
        <f t="shared" si="28"/>
        <v>90</v>
      </c>
      <c r="AU66" s="349">
        <f t="shared" si="29"/>
        <v>240</v>
      </c>
      <c r="AV66" s="348">
        <f>IF($D$54=4,$D66*2,$D66/2)</f>
        <v>45</v>
      </c>
      <c r="AW66" s="349">
        <f>IF($D$54=4,$F66*2,$F66/2)</f>
        <v>120</v>
      </c>
      <c r="AX66" s="348">
        <f>IF($D$54=4,$D66*2/4,$D66/4/2)</f>
        <v>11.25</v>
      </c>
      <c r="AY66" s="349">
        <f>IF($D$54=4,$F66*2/4,$F66/4/2)</f>
        <v>30</v>
      </c>
      <c r="AZ66" s="348">
        <f>IF($D$54=4,$D66*2/4,$D66/4/2)</f>
        <v>11.25</v>
      </c>
      <c r="BA66" s="349">
        <f>IF($D$54=4,$F66*2/4,$F66/4/2)</f>
        <v>30</v>
      </c>
      <c r="BB66" s="348">
        <f>IF($D$54=4,$D66*2*3,$D66*3/2)</f>
        <v>135</v>
      </c>
      <c r="BC66" s="349">
        <f>IF($D$54=4,$F66*2*3,$F66*3/2)</f>
        <v>360</v>
      </c>
      <c r="BD66" s="348">
        <f t="shared" si="30"/>
        <v>90</v>
      </c>
      <c r="BE66" s="349">
        <f t="shared" si="31"/>
        <v>240</v>
      </c>
      <c r="BF66" s="348">
        <f>IF($D$54=3,$D66*2/4,$D66/4)</f>
        <v>22.5</v>
      </c>
      <c r="BG66" s="349">
        <f>IF($D$54=3,$F66*2/4,$F66/4)</f>
        <v>60</v>
      </c>
      <c r="BH66" s="348">
        <f>$D66/4</f>
        <v>22.5</v>
      </c>
      <c r="BI66" s="349">
        <f>$F66/4</f>
        <v>60</v>
      </c>
      <c r="BJ66" s="348">
        <f>$D66/4</f>
        <v>22.5</v>
      </c>
      <c r="BK66" s="349">
        <f>$F66/4</f>
        <v>60</v>
      </c>
      <c r="BL66" s="348">
        <f t="shared" si="32"/>
        <v>90</v>
      </c>
      <c r="BM66" s="349">
        <f t="shared" si="33"/>
        <v>240</v>
      </c>
      <c r="BN66" s="348">
        <f>IF($D$54=3,$D66*2*3,$D66*3)</f>
        <v>270</v>
      </c>
      <c r="BO66" s="349">
        <f>IF($D$54=3,$F66*2*3,$F66*3)</f>
        <v>720</v>
      </c>
      <c r="BP66" s="348">
        <f t="shared" si="11"/>
        <v>90</v>
      </c>
      <c r="BQ66" s="349">
        <f t="shared" si="34"/>
        <v>240</v>
      </c>
      <c r="BR66" s="348">
        <f t="shared" si="35"/>
        <v>90</v>
      </c>
      <c r="BS66" s="349">
        <f t="shared" si="36"/>
        <v>240</v>
      </c>
      <c r="BT66" s="350">
        <f t="shared" si="50"/>
        <v>90</v>
      </c>
      <c r="BU66" s="349">
        <f t="shared" si="37"/>
        <v>240</v>
      </c>
      <c r="BV66" s="348">
        <f t="shared" si="38"/>
        <v>90</v>
      </c>
      <c r="BW66" s="349">
        <f t="shared" si="39"/>
        <v>240</v>
      </c>
      <c r="BX66" s="348">
        <f>IF($D$54=2,$D66*2*3/4,$D66*3/4)</f>
        <v>67.5</v>
      </c>
      <c r="BY66" s="349">
        <f>IF($D$54=2,$F66*2*3/4,$F66*3/4)</f>
        <v>180</v>
      </c>
      <c r="BZ66" s="350">
        <f>$D66</f>
        <v>90</v>
      </c>
      <c r="CA66" s="349">
        <f>$F66</f>
        <v>240</v>
      </c>
      <c r="CB66" s="348">
        <f>$D66*3</f>
        <v>270</v>
      </c>
      <c r="CC66" s="349">
        <f>$F66*3</f>
        <v>720</v>
      </c>
      <c r="CD66" s="348">
        <f>IF($D$54=3,$D66*2/4,$D66/4)</f>
        <v>22.5</v>
      </c>
      <c r="CE66" s="349">
        <f>IF($D$54=3,$F66*2/4,$F66/4)</f>
        <v>60</v>
      </c>
      <c r="CF66" s="348">
        <f t="shared" si="51"/>
        <v>90</v>
      </c>
      <c r="CG66" s="349">
        <f t="shared" si="40"/>
        <v>240</v>
      </c>
      <c r="CH66" s="350">
        <f>$D66</f>
        <v>90</v>
      </c>
      <c r="CI66" s="349">
        <f>$F66</f>
        <v>240</v>
      </c>
      <c r="CJ66" s="348">
        <f>IF($D$54=1,$D66*2*3,$D66*3)</f>
        <v>270</v>
      </c>
      <c r="CK66" s="349">
        <f>IF($D$54=1,$F66*2*3,$F66*3)</f>
        <v>720</v>
      </c>
      <c r="CL66" s="348">
        <f>IF($D$54=2,$D66*2/4,$D66/4)</f>
        <v>22.5</v>
      </c>
      <c r="CM66" s="349">
        <f>IF($D$54=2,$F66*2/4,$F66/4)</f>
        <v>60</v>
      </c>
      <c r="CN66" s="350">
        <f t="shared" si="12"/>
        <v>90</v>
      </c>
      <c r="CO66" s="349">
        <f t="shared" si="41"/>
        <v>240</v>
      </c>
      <c r="CP66" s="348">
        <f t="shared" si="12"/>
        <v>90</v>
      </c>
      <c r="CQ66" s="349">
        <f t="shared" si="42"/>
        <v>240</v>
      </c>
      <c r="CR66" s="348">
        <f t="shared" si="12"/>
        <v>90</v>
      </c>
      <c r="CS66" s="349">
        <f t="shared" si="43"/>
        <v>240</v>
      </c>
    </row>
    <row r="67" spans="1:97">
      <c r="A67" s="339" t="s">
        <v>203</v>
      </c>
      <c r="B67" s="238">
        <v>40</v>
      </c>
      <c r="C67" s="238">
        <v>50</v>
      </c>
      <c r="D67" s="344">
        <f>ROUNDDOWN(B67*(1+$D$53*0.1),0)</f>
        <v>120</v>
      </c>
      <c r="E67" s="345">
        <f t="shared" si="13"/>
        <v>135</v>
      </c>
      <c r="F67" s="347">
        <f>C67*(1+$D$53*0.1)</f>
        <v>150</v>
      </c>
      <c r="G67" s="70"/>
      <c r="H67" s="350">
        <f t="shared" si="3"/>
        <v>120</v>
      </c>
      <c r="I67" s="349">
        <f t="shared" si="14"/>
        <v>150</v>
      </c>
      <c r="J67" s="348">
        <f t="shared" si="4"/>
        <v>120</v>
      </c>
      <c r="K67" s="349">
        <f t="shared" si="14"/>
        <v>150</v>
      </c>
      <c r="L67" s="348">
        <f t="shared" si="5"/>
        <v>120</v>
      </c>
      <c r="M67" s="349">
        <f t="shared" si="15"/>
        <v>150</v>
      </c>
      <c r="N67" s="348">
        <f t="shared" si="6"/>
        <v>120</v>
      </c>
      <c r="O67" s="349">
        <f t="shared" si="16"/>
        <v>150</v>
      </c>
      <c r="P67" s="348">
        <f t="shared" si="7"/>
        <v>120</v>
      </c>
      <c r="Q67" s="349">
        <f t="shared" si="17"/>
        <v>150</v>
      </c>
      <c r="R67" s="348">
        <f t="shared" si="8"/>
        <v>120</v>
      </c>
      <c r="S67" s="349">
        <f t="shared" si="18"/>
        <v>150</v>
      </c>
      <c r="T67" s="348">
        <f t="shared" si="9"/>
        <v>120</v>
      </c>
      <c r="U67" s="349">
        <f t="shared" si="19"/>
        <v>150</v>
      </c>
      <c r="V67" s="348">
        <f t="shared" si="20"/>
        <v>120</v>
      </c>
      <c r="W67" s="349">
        <f t="shared" si="21"/>
        <v>150</v>
      </c>
      <c r="X67" s="348">
        <f t="shared" si="46"/>
        <v>120</v>
      </c>
      <c r="Y67" s="349">
        <f t="shared" si="22"/>
        <v>150</v>
      </c>
      <c r="Z67" s="348">
        <f t="shared" si="23"/>
        <v>60</v>
      </c>
      <c r="AA67" s="349">
        <f t="shared" si="10"/>
        <v>75</v>
      </c>
      <c r="AB67" s="348">
        <f>$D67/2/4</f>
        <v>15</v>
      </c>
      <c r="AC67" s="349">
        <f>$F67/2/4</f>
        <v>18.75</v>
      </c>
      <c r="AD67" s="348">
        <f>$D67*3</f>
        <v>360</v>
      </c>
      <c r="AE67" s="349">
        <f>$F67*3</f>
        <v>450</v>
      </c>
      <c r="AF67" s="348">
        <f t="shared" si="47"/>
        <v>120</v>
      </c>
      <c r="AG67" s="349">
        <f t="shared" si="24"/>
        <v>150</v>
      </c>
      <c r="AH67" s="348">
        <f t="shared" si="47"/>
        <v>120</v>
      </c>
      <c r="AI67" s="349">
        <f>IF($D$54=1,$F67*2,$F67)</f>
        <v>150</v>
      </c>
      <c r="AJ67" s="348">
        <f t="shared" si="25"/>
        <v>120</v>
      </c>
      <c r="AK67" s="349">
        <f t="shared" si="26"/>
        <v>150</v>
      </c>
      <c r="AL67" s="348">
        <f t="shared" si="48"/>
        <v>120</v>
      </c>
      <c r="AM67" s="349">
        <f t="shared" si="27"/>
        <v>150</v>
      </c>
      <c r="AN67" s="348">
        <f>$D67*3/4</f>
        <v>90</v>
      </c>
      <c r="AO67" s="349">
        <f>$F67*3/4</f>
        <v>112.5</v>
      </c>
      <c r="AP67" s="348">
        <f>IF($D$54=3,$D67*2/4,$D67/4)</f>
        <v>30</v>
      </c>
      <c r="AQ67" s="349">
        <f>IF($D$54=3,$F67*2/4,$F67/4)</f>
        <v>37.5</v>
      </c>
      <c r="AR67" s="348">
        <f>IF($D$54=3,$D67*2/4,$D67/4)</f>
        <v>30</v>
      </c>
      <c r="AS67" s="349">
        <f>IF($D$54=3,$F67*2/4,$F67/4)</f>
        <v>37.5</v>
      </c>
      <c r="AT67" s="348">
        <f t="shared" si="28"/>
        <v>120</v>
      </c>
      <c r="AU67" s="349">
        <f t="shared" si="29"/>
        <v>150</v>
      </c>
      <c r="AV67" s="348">
        <f>IF($D$54=4,$D67*2*3,$D67*3/2)</f>
        <v>180</v>
      </c>
      <c r="AW67" s="349">
        <f>IF($D$54=4,$F67*2*3,$F67*3/2)</f>
        <v>225</v>
      </c>
      <c r="AX67" s="348">
        <f>IF($D$54=4,$D67*2,$D67/2)</f>
        <v>60</v>
      </c>
      <c r="AY67" s="349">
        <f>IF($D$54=4,$F67*2,$F67/2)</f>
        <v>75</v>
      </c>
      <c r="AZ67" s="348">
        <f>IF($D$54=4,$D67*2/4,$D67/4/2)</f>
        <v>15</v>
      </c>
      <c r="BA67" s="349">
        <f>IF($D$54=4,$F67*2/4,$F67/4/2)</f>
        <v>18.75</v>
      </c>
      <c r="BB67" s="348">
        <f>IF($D$54=4,$D67*2/4,$D67/4/2)</f>
        <v>15</v>
      </c>
      <c r="BC67" s="349">
        <f>IF($D$54=4,$F67*2/4,$F67/4/2)</f>
        <v>18.75</v>
      </c>
      <c r="BD67" s="348">
        <f t="shared" si="30"/>
        <v>120</v>
      </c>
      <c r="BE67" s="349">
        <f t="shared" si="31"/>
        <v>150</v>
      </c>
      <c r="BF67" s="348">
        <f>IF($D$54=3,$D67*2/4,$D67/4)</f>
        <v>30</v>
      </c>
      <c r="BG67" s="349">
        <f>IF($D$54=3,$F67*2/4,$F67/4)</f>
        <v>37.5</v>
      </c>
      <c r="BH67" s="348">
        <f>$D67</f>
        <v>120</v>
      </c>
      <c r="BI67" s="349">
        <f>$F67</f>
        <v>150</v>
      </c>
      <c r="BJ67" s="348">
        <f>$D67/4</f>
        <v>30</v>
      </c>
      <c r="BK67" s="349">
        <f>$F67/4</f>
        <v>37.5</v>
      </c>
      <c r="BL67" s="348">
        <f t="shared" si="32"/>
        <v>120</v>
      </c>
      <c r="BM67" s="349">
        <f t="shared" si="33"/>
        <v>150</v>
      </c>
      <c r="BN67" s="348">
        <f>IF($D$54=3,$D67*2/4,$D67/4)</f>
        <v>30</v>
      </c>
      <c r="BO67" s="349">
        <f>IF($D$54=3,$F67*2/4,$F67/4)</f>
        <v>37.5</v>
      </c>
      <c r="BP67" s="348">
        <f t="shared" si="11"/>
        <v>120</v>
      </c>
      <c r="BQ67" s="349">
        <f t="shared" si="34"/>
        <v>150</v>
      </c>
      <c r="BR67" s="348">
        <f t="shared" si="35"/>
        <v>120</v>
      </c>
      <c r="BS67" s="349">
        <f t="shared" si="36"/>
        <v>150</v>
      </c>
      <c r="BT67" s="350">
        <f t="shared" si="50"/>
        <v>120</v>
      </c>
      <c r="BU67" s="349">
        <f t="shared" si="37"/>
        <v>150</v>
      </c>
      <c r="BV67" s="348">
        <f t="shared" si="38"/>
        <v>120</v>
      </c>
      <c r="BW67" s="349">
        <f t="shared" si="39"/>
        <v>150</v>
      </c>
      <c r="BX67" s="348">
        <f>IF($D$54=2,$D67*2/4,$D67/4)</f>
        <v>30</v>
      </c>
      <c r="BY67" s="349">
        <f>IF($D$54=2,$F67*2/4,$F67/4)</f>
        <v>37.5</v>
      </c>
      <c r="BZ67" s="350">
        <f>$D67*3</f>
        <v>360</v>
      </c>
      <c r="CA67" s="349">
        <f>$F67*3</f>
        <v>450</v>
      </c>
      <c r="CB67" s="348">
        <f>$D67/4</f>
        <v>30</v>
      </c>
      <c r="CC67" s="349">
        <f>$F67/4</f>
        <v>37.5</v>
      </c>
      <c r="CD67" s="348">
        <f>IF($D$54=3,$D67*2/4,$D67/4)</f>
        <v>30</v>
      </c>
      <c r="CE67" s="349">
        <f>IF($D$54=3,$F67*2/4,$F67/4)</f>
        <v>37.5</v>
      </c>
      <c r="CF67" s="348">
        <f t="shared" si="51"/>
        <v>120</v>
      </c>
      <c r="CG67" s="349">
        <f t="shared" si="40"/>
        <v>150</v>
      </c>
      <c r="CH67" s="350">
        <f>$D67*3</f>
        <v>360</v>
      </c>
      <c r="CI67" s="349">
        <f>$F67*3</f>
        <v>450</v>
      </c>
      <c r="CJ67" s="348">
        <f>IF($D$54=1,$D67*2/4,$D67/4)</f>
        <v>30</v>
      </c>
      <c r="CK67" s="349">
        <f>IF($D$54=1,$F67*2/4,$F67/4)</f>
        <v>37.5</v>
      </c>
      <c r="CL67" s="348">
        <f>IF($D$54=2,$D67*2/4,$D67/4)</f>
        <v>30</v>
      </c>
      <c r="CM67" s="349">
        <f>IF($D$54=2,$F67*2/4,$F67/4)</f>
        <v>37.5</v>
      </c>
      <c r="CN67" s="350">
        <f t="shared" si="12"/>
        <v>120</v>
      </c>
      <c r="CO67" s="349">
        <f t="shared" si="41"/>
        <v>150</v>
      </c>
      <c r="CP67" s="348">
        <f t="shared" si="12"/>
        <v>120</v>
      </c>
      <c r="CQ67" s="349">
        <f t="shared" si="42"/>
        <v>150</v>
      </c>
      <c r="CR67" s="348">
        <f t="shared" si="12"/>
        <v>120</v>
      </c>
      <c r="CS67" s="349">
        <f t="shared" si="43"/>
        <v>150</v>
      </c>
    </row>
    <row r="68" spans="1:97">
      <c r="A68" s="340" t="s">
        <v>190</v>
      </c>
      <c r="B68" s="238">
        <v>30</v>
      </c>
      <c r="C68" s="238">
        <v>70</v>
      </c>
      <c r="D68" s="344">
        <f t="shared" ref="D68:D70" si="53">ROUNDDOWN(B68*(1+$D$53*0.1),0)</f>
        <v>90</v>
      </c>
      <c r="E68" s="345">
        <f t="shared" si="13"/>
        <v>150</v>
      </c>
      <c r="F68" s="347">
        <f t="shared" ref="F68:F70" si="54">C68*(1+$D$53*0.1)</f>
        <v>210</v>
      </c>
      <c r="G68" s="70"/>
      <c r="H68" s="350">
        <f t="shared" si="3"/>
        <v>90</v>
      </c>
      <c r="I68" s="349">
        <f t="shared" si="14"/>
        <v>210</v>
      </c>
      <c r="J68" s="348">
        <f t="shared" si="4"/>
        <v>90</v>
      </c>
      <c r="K68" s="349">
        <f t="shared" si="14"/>
        <v>210</v>
      </c>
      <c r="L68" s="348">
        <f t="shared" si="5"/>
        <v>90</v>
      </c>
      <c r="M68" s="349">
        <f t="shared" si="15"/>
        <v>210</v>
      </c>
      <c r="N68" s="348">
        <f t="shared" si="6"/>
        <v>90</v>
      </c>
      <c r="O68" s="349">
        <f t="shared" si="16"/>
        <v>210</v>
      </c>
      <c r="P68" s="348">
        <f t="shared" si="7"/>
        <v>90</v>
      </c>
      <c r="Q68" s="349">
        <f t="shared" si="17"/>
        <v>210</v>
      </c>
      <c r="R68" s="348">
        <f t="shared" si="8"/>
        <v>90</v>
      </c>
      <c r="S68" s="349">
        <f t="shared" si="18"/>
        <v>210</v>
      </c>
      <c r="T68" s="348">
        <f t="shared" si="9"/>
        <v>90</v>
      </c>
      <c r="U68" s="349">
        <f t="shared" si="19"/>
        <v>210</v>
      </c>
      <c r="V68" s="348">
        <f t="shared" si="20"/>
        <v>90</v>
      </c>
      <c r="W68" s="349">
        <f t="shared" si="21"/>
        <v>210</v>
      </c>
      <c r="X68" s="348">
        <f t="shared" si="46"/>
        <v>90</v>
      </c>
      <c r="Y68" s="349">
        <f t="shared" si="22"/>
        <v>210</v>
      </c>
      <c r="Z68" s="348">
        <f t="shared" si="23"/>
        <v>45</v>
      </c>
      <c r="AA68" s="349">
        <f t="shared" si="10"/>
        <v>105</v>
      </c>
      <c r="AB68" s="348">
        <f>$D68/2*3</f>
        <v>135</v>
      </c>
      <c r="AC68" s="349">
        <f>$F68/2*3</f>
        <v>315</v>
      </c>
      <c r="AD68" s="348">
        <f>$D68/4</f>
        <v>22.5</v>
      </c>
      <c r="AE68" s="349">
        <f>$F68/4</f>
        <v>52.5</v>
      </c>
      <c r="AF68" s="348">
        <f t="shared" si="47"/>
        <v>90</v>
      </c>
      <c r="AG68" s="349">
        <f t="shared" si="24"/>
        <v>210</v>
      </c>
      <c r="AH68" s="348">
        <f>IF($D$54=1,$D68*2/4,$D68/4)</f>
        <v>22.5</v>
      </c>
      <c r="AI68" s="349">
        <f>IF($D$54=1,$F68*2/4,$F68/4)</f>
        <v>52.5</v>
      </c>
      <c r="AJ68" s="348">
        <f t="shared" si="25"/>
        <v>90</v>
      </c>
      <c r="AK68" s="349">
        <f t="shared" si="26"/>
        <v>210</v>
      </c>
      <c r="AL68" s="348">
        <f t="shared" si="48"/>
        <v>90</v>
      </c>
      <c r="AM68" s="349">
        <f t="shared" si="27"/>
        <v>210</v>
      </c>
      <c r="AN68" s="348">
        <f>$D68*3/4</f>
        <v>67.5</v>
      </c>
      <c r="AO68" s="349">
        <f>$F68*3/4</f>
        <v>157.5</v>
      </c>
      <c r="AP68" s="348">
        <f>IF($D$54=3,$D68*2,$D68)</f>
        <v>90</v>
      </c>
      <c r="AQ68" s="349">
        <f>IF($D$54=3,$F68*2,$F68)</f>
        <v>210</v>
      </c>
      <c r="AR68" s="348">
        <f>IF($D$54=3,$D68*2*3,$D68*3)</f>
        <v>270</v>
      </c>
      <c r="AS68" s="349">
        <f>IF($D$54=3,$F68*2*3,$F68*3)</f>
        <v>630</v>
      </c>
      <c r="AT68" s="348">
        <f t="shared" si="28"/>
        <v>90</v>
      </c>
      <c r="AU68" s="349">
        <f t="shared" si="29"/>
        <v>210</v>
      </c>
      <c r="AV68" s="348">
        <f>IF($D$54=4,$D68*2/4,$D68/4/2)</f>
        <v>11.25</v>
      </c>
      <c r="AW68" s="349">
        <f>IF($D$54=4,$F68*2/4,$F68/4/2)</f>
        <v>26.25</v>
      </c>
      <c r="AX68" s="348">
        <f>IF($D$54=4,$D68*2/4,$D68/4/2)</f>
        <v>11.25</v>
      </c>
      <c r="AY68" s="349">
        <f>IF($D$54=4,$F68*2/4,$F68/4/2)</f>
        <v>26.25</v>
      </c>
      <c r="AZ68" s="348">
        <f>IF($D$54=4,$D68*2*3,$D68*3/2)</f>
        <v>135</v>
      </c>
      <c r="BA68" s="349">
        <f>IF($D$54=4,$F68*2*3,$F68*3/2)</f>
        <v>315</v>
      </c>
      <c r="BB68" s="348">
        <f>IF($D$54=4,$D68*2,$D68/2)</f>
        <v>45</v>
      </c>
      <c r="BC68" s="349">
        <f>IF($D$54=4,$F68*2,$F68/2)</f>
        <v>105</v>
      </c>
      <c r="BD68" s="348">
        <f t="shared" si="30"/>
        <v>90</v>
      </c>
      <c r="BE68" s="349">
        <f t="shared" si="31"/>
        <v>210</v>
      </c>
      <c r="BF68" s="348">
        <f>IF($D$54=3,$D68*2*3,$D68*3)</f>
        <v>270</v>
      </c>
      <c r="BG68" s="349">
        <f>IF($D$54=3,$F68*2*3,$F68*3)</f>
        <v>630</v>
      </c>
      <c r="BH68" s="348">
        <f>$D68/4</f>
        <v>22.5</v>
      </c>
      <c r="BI68" s="349">
        <f>$F68/4</f>
        <v>52.5</v>
      </c>
      <c r="BJ68" s="348">
        <f>$D68*3</f>
        <v>270</v>
      </c>
      <c r="BK68" s="349">
        <f>$F68*3</f>
        <v>630</v>
      </c>
      <c r="BL68" s="348">
        <f t="shared" si="32"/>
        <v>90</v>
      </c>
      <c r="BM68" s="349">
        <f t="shared" si="33"/>
        <v>210</v>
      </c>
      <c r="BN68" s="348">
        <f>IF($D$54=3,$D68*2,$D68)</f>
        <v>90</v>
      </c>
      <c r="BO68" s="349">
        <f>IF($D$54=3,$F68*2,$F68)</f>
        <v>210</v>
      </c>
      <c r="BP68" s="348">
        <f t="shared" si="11"/>
        <v>90</v>
      </c>
      <c r="BQ68" s="349">
        <f t="shared" si="34"/>
        <v>210</v>
      </c>
      <c r="BR68" s="348">
        <f t="shared" si="35"/>
        <v>90</v>
      </c>
      <c r="BS68" s="349">
        <f t="shared" si="36"/>
        <v>210</v>
      </c>
      <c r="BT68" s="350">
        <f t="shared" si="50"/>
        <v>90</v>
      </c>
      <c r="BU68" s="349">
        <f t="shared" si="37"/>
        <v>210</v>
      </c>
      <c r="BV68" s="348">
        <f t="shared" si="38"/>
        <v>90</v>
      </c>
      <c r="BW68" s="349">
        <f t="shared" si="39"/>
        <v>210</v>
      </c>
      <c r="BX68" s="348">
        <f>IF($D$54=2,$D68*2/4,$D68/4)</f>
        <v>22.5</v>
      </c>
      <c r="BY68" s="349">
        <f>IF($D$54=2,$F68*2/4,$F68/4)</f>
        <v>52.5</v>
      </c>
      <c r="BZ68" s="350">
        <f>$D68/4</f>
        <v>22.5</v>
      </c>
      <c r="CA68" s="349">
        <f>$F68/4</f>
        <v>52.5</v>
      </c>
      <c r="CB68" s="348">
        <f>$D68</f>
        <v>90</v>
      </c>
      <c r="CC68" s="349">
        <f>$F68</f>
        <v>210</v>
      </c>
      <c r="CD68" s="348">
        <f>IF($D$54=3,$D68*2*3,$D68*3)</f>
        <v>270</v>
      </c>
      <c r="CE68" s="349">
        <f>IF($D$54=3,$F68*2*3,$F68*3)</f>
        <v>630</v>
      </c>
      <c r="CF68" s="348">
        <f t="shared" si="51"/>
        <v>90</v>
      </c>
      <c r="CG68" s="349">
        <f t="shared" si="40"/>
        <v>210</v>
      </c>
      <c r="CH68" s="350">
        <f>$D68/4</f>
        <v>22.5</v>
      </c>
      <c r="CI68" s="349">
        <f>$F68/4</f>
        <v>52.5</v>
      </c>
      <c r="CJ68" s="348">
        <f>IF($D$54=1,$D68*2,$D68)</f>
        <v>90</v>
      </c>
      <c r="CK68" s="349">
        <f>IF($D$54=1,$F68*2,$F68)</f>
        <v>210</v>
      </c>
      <c r="CL68" s="348">
        <f>IF($D$54=2,$D68*2*3,$D68*3)</f>
        <v>270</v>
      </c>
      <c r="CM68" s="349">
        <f>IF($D$54=2,$F68*2*3,$F68*3)</f>
        <v>630</v>
      </c>
      <c r="CN68" s="350">
        <f t="shared" si="12"/>
        <v>90</v>
      </c>
      <c r="CO68" s="349">
        <f t="shared" si="41"/>
        <v>210</v>
      </c>
      <c r="CP68" s="348">
        <f t="shared" si="12"/>
        <v>90</v>
      </c>
      <c r="CQ68" s="349">
        <f t="shared" si="42"/>
        <v>210</v>
      </c>
      <c r="CR68" s="348">
        <f t="shared" si="12"/>
        <v>90</v>
      </c>
      <c r="CS68" s="349">
        <f t="shared" si="43"/>
        <v>210</v>
      </c>
    </row>
    <row r="69" spans="1:97">
      <c r="A69" s="107" t="s">
        <v>512</v>
      </c>
      <c r="B69" s="238">
        <v>40</v>
      </c>
      <c r="C69" s="238">
        <v>60</v>
      </c>
      <c r="D69" s="344">
        <f t="shared" si="53"/>
        <v>120</v>
      </c>
      <c r="E69" s="345">
        <f t="shared" si="13"/>
        <v>150</v>
      </c>
      <c r="F69" s="347">
        <f t="shared" si="54"/>
        <v>180</v>
      </c>
      <c r="G69" s="70"/>
      <c r="H69" s="350">
        <f t="shared" si="3"/>
        <v>120</v>
      </c>
      <c r="I69" s="349">
        <f t="shared" si="14"/>
        <v>180</v>
      </c>
      <c r="J69" s="348">
        <f t="shared" si="4"/>
        <v>120</v>
      </c>
      <c r="K69" s="349">
        <f t="shared" si="14"/>
        <v>180</v>
      </c>
      <c r="L69" s="348">
        <f t="shared" si="5"/>
        <v>120</v>
      </c>
      <c r="M69" s="349">
        <f t="shared" si="15"/>
        <v>180</v>
      </c>
      <c r="N69" s="348">
        <f t="shared" si="6"/>
        <v>120</v>
      </c>
      <c r="O69" s="349">
        <f t="shared" si="16"/>
        <v>180</v>
      </c>
      <c r="P69" s="348">
        <f t="shared" si="7"/>
        <v>120</v>
      </c>
      <c r="Q69" s="349">
        <f t="shared" si="17"/>
        <v>180</v>
      </c>
      <c r="R69" s="348">
        <f t="shared" si="8"/>
        <v>120</v>
      </c>
      <c r="S69" s="349">
        <f t="shared" si="18"/>
        <v>180</v>
      </c>
      <c r="T69" s="348">
        <f t="shared" si="9"/>
        <v>120</v>
      </c>
      <c r="U69" s="349">
        <f t="shared" si="19"/>
        <v>180</v>
      </c>
      <c r="V69" s="348">
        <f t="shared" si="20"/>
        <v>120</v>
      </c>
      <c r="W69" s="349">
        <f t="shared" si="21"/>
        <v>180</v>
      </c>
      <c r="X69" s="348">
        <f t="shared" si="46"/>
        <v>120</v>
      </c>
      <c r="Y69" s="349">
        <f t="shared" si="22"/>
        <v>180</v>
      </c>
      <c r="Z69" s="348">
        <f t="shared" si="23"/>
        <v>60</v>
      </c>
      <c r="AA69" s="349">
        <f t="shared" si="10"/>
        <v>90</v>
      </c>
      <c r="AB69" s="348">
        <f>$D69/2</f>
        <v>60</v>
      </c>
      <c r="AC69" s="349">
        <f>$F69/2</f>
        <v>90</v>
      </c>
      <c r="AD69" s="348">
        <f>$D69/4</f>
        <v>30</v>
      </c>
      <c r="AE69" s="349">
        <f>$F69/4</f>
        <v>45</v>
      </c>
      <c r="AF69" s="348">
        <f t="shared" si="47"/>
        <v>120</v>
      </c>
      <c r="AG69" s="349">
        <f t="shared" si="24"/>
        <v>180</v>
      </c>
      <c r="AH69" s="348">
        <f>IF($D$54=1,$D69*2*3,$D69*3)</f>
        <v>360</v>
      </c>
      <c r="AI69" s="349">
        <f>IF($D$54=1,$F69*2*3,$F69*3)</f>
        <v>540</v>
      </c>
      <c r="AJ69" s="348">
        <f t="shared" si="25"/>
        <v>120</v>
      </c>
      <c r="AK69" s="349">
        <f t="shared" si="26"/>
        <v>180</v>
      </c>
      <c r="AL69" s="348">
        <f t="shared" si="48"/>
        <v>120</v>
      </c>
      <c r="AM69" s="349">
        <f t="shared" si="27"/>
        <v>180</v>
      </c>
      <c r="AN69" s="348">
        <f>$D69/4</f>
        <v>30</v>
      </c>
      <c r="AO69" s="349">
        <f>$F69/4</f>
        <v>45</v>
      </c>
      <c r="AP69" s="348">
        <f>IF($D$54=3,$D69*2/4,$D69/4)</f>
        <v>30</v>
      </c>
      <c r="AQ69" s="349">
        <f>IF($D$54=3,$F69*2/4,$F69/4)</f>
        <v>45</v>
      </c>
      <c r="AR69" s="348">
        <f>IF($D$54=3,$D69*2,$D69)</f>
        <v>120</v>
      </c>
      <c r="AS69" s="349">
        <f>IF($D$54=3,$F69*2,$F69)</f>
        <v>180</v>
      </c>
      <c r="AT69" s="348">
        <f t="shared" si="28"/>
        <v>120</v>
      </c>
      <c r="AU69" s="349">
        <f t="shared" si="29"/>
        <v>180</v>
      </c>
      <c r="AV69" s="348">
        <f>IF($D$54=4,$D69*2/4,$D69/4/2)</f>
        <v>15</v>
      </c>
      <c r="AW69" s="349">
        <f>IF($D$54=4,$F69*2/4,$F69/4/2)</f>
        <v>22.5</v>
      </c>
      <c r="AX69" s="348">
        <f>IF($D$54=4,$D69*2*3,$D69*3/2)</f>
        <v>180</v>
      </c>
      <c r="AY69" s="349">
        <f>IF($D$54=4,$F69*2*3,$F69*3/2)</f>
        <v>270</v>
      </c>
      <c r="AZ69" s="348">
        <f>IF($D$54=4,$D69*2,$D69/2)</f>
        <v>60</v>
      </c>
      <c r="BA69" s="349">
        <f>IF($D$54=4,$F69*2,$F69/2)</f>
        <v>90</v>
      </c>
      <c r="BB69" s="348">
        <f>IF($D$54=4,$D69*2/4,$D69/4/2)</f>
        <v>15</v>
      </c>
      <c r="BC69" s="349">
        <f>IF($D$54=4,$F69*2/4,$F69/4/2)</f>
        <v>22.5</v>
      </c>
      <c r="BD69" s="348">
        <f t="shared" si="30"/>
        <v>120</v>
      </c>
      <c r="BE69" s="349">
        <f t="shared" si="31"/>
        <v>180</v>
      </c>
      <c r="BF69" s="348">
        <f>IF($D$54=3,$D69*2,$D69)</f>
        <v>120</v>
      </c>
      <c r="BG69" s="349">
        <f>IF($D$54=3,$F69*2,$F69)</f>
        <v>180</v>
      </c>
      <c r="BH69" s="348">
        <f>$D69*3</f>
        <v>360</v>
      </c>
      <c r="BI69" s="349">
        <f>$F69*3</f>
        <v>540</v>
      </c>
      <c r="BJ69" s="348">
        <f>$D69</f>
        <v>120</v>
      </c>
      <c r="BK69" s="349">
        <f>$F69</f>
        <v>180</v>
      </c>
      <c r="BL69" s="348">
        <f t="shared" si="32"/>
        <v>120</v>
      </c>
      <c r="BM69" s="349">
        <f t="shared" si="33"/>
        <v>180</v>
      </c>
      <c r="BN69" s="348">
        <f>IF($D$54=3,$D69*2/4,$D69/4)</f>
        <v>30</v>
      </c>
      <c r="BO69" s="349">
        <f>IF($D$54=3,$F69*2/4,$F69/4)</f>
        <v>45</v>
      </c>
      <c r="BP69" s="348">
        <f t="shared" si="11"/>
        <v>120</v>
      </c>
      <c r="BQ69" s="349">
        <f t="shared" si="34"/>
        <v>180</v>
      </c>
      <c r="BR69" s="348">
        <f t="shared" si="35"/>
        <v>120</v>
      </c>
      <c r="BS69" s="349">
        <f t="shared" si="36"/>
        <v>180</v>
      </c>
      <c r="BT69" s="350">
        <f t="shared" si="50"/>
        <v>120</v>
      </c>
      <c r="BU69" s="349">
        <f t="shared" si="37"/>
        <v>180</v>
      </c>
      <c r="BV69" s="348">
        <f t="shared" si="38"/>
        <v>120</v>
      </c>
      <c r="BW69" s="349">
        <f t="shared" si="39"/>
        <v>180</v>
      </c>
      <c r="BX69" s="348">
        <f>IF($D$54=2,$D69*2*3/4,$D69*3/4)</f>
        <v>90</v>
      </c>
      <c r="BY69" s="349">
        <f>IF($D$54=2,$F69*2*3/4,$F69*3/4)</f>
        <v>135</v>
      </c>
      <c r="BZ69" s="350">
        <f>$D69/4</f>
        <v>30</v>
      </c>
      <c r="CA69" s="349">
        <f>$F69/4</f>
        <v>45</v>
      </c>
      <c r="CB69" s="348">
        <f>$D69/4</f>
        <v>30</v>
      </c>
      <c r="CC69" s="349">
        <f>$F69/4</f>
        <v>45</v>
      </c>
      <c r="CD69" s="348">
        <f>IF($D$54=3,$D69*2,$D69)</f>
        <v>120</v>
      </c>
      <c r="CE69" s="349">
        <f>IF($D$54=3,$F69*2,$F69)</f>
        <v>180</v>
      </c>
      <c r="CF69" s="348">
        <f t="shared" si="51"/>
        <v>120</v>
      </c>
      <c r="CG69" s="349">
        <f t="shared" si="40"/>
        <v>180</v>
      </c>
      <c r="CH69" s="350">
        <f>$D69/4</f>
        <v>30</v>
      </c>
      <c r="CI69" s="349">
        <f>$F69/4</f>
        <v>45</v>
      </c>
      <c r="CJ69" s="348">
        <f>IF($D$54=1,$D69*2/4,$D69/4)</f>
        <v>30</v>
      </c>
      <c r="CK69" s="349">
        <f>IF($D$54=1,$F69*2/4,$F69/4)</f>
        <v>45</v>
      </c>
      <c r="CL69" s="348">
        <f>IF($D$54=2,$D69*2,$D69)</f>
        <v>120</v>
      </c>
      <c r="CM69" s="349">
        <f>IF($D$54=2,$F69*2,$F69)</f>
        <v>180</v>
      </c>
      <c r="CN69" s="350">
        <f t="shared" si="12"/>
        <v>120</v>
      </c>
      <c r="CO69" s="349">
        <f t="shared" si="41"/>
        <v>180</v>
      </c>
      <c r="CP69" s="348">
        <f t="shared" si="12"/>
        <v>120</v>
      </c>
      <c r="CQ69" s="349">
        <f t="shared" si="42"/>
        <v>180</v>
      </c>
      <c r="CR69" s="348">
        <f t="shared" si="12"/>
        <v>120</v>
      </c>
      <c r="CS69" s="349">
        <f t="shared" si="43"/>
        <v>180</v>
      </c>
    </row>
    <row r="70" spans="1:97">
      <c r="A70" s="25" t="s">
        <v>125</v>
      </c>
      <c r="B70" s="238">
        <v>50</v>
      </c>
      <c r="C70" s="238">
        <v>60</v>
      </c>
      <c r="D70" s="344">
        <f t="shared" si="53"/>
        <v>150</v>
      </c>
      <c r="E70" s="345">
        <f t="shared" si="13"/>
        <v>165</v>
      </c>
      <c r="F70" s="347">
        <f t="shared" si="54"/>
        <v>180</v>
      </c>
      <c r="G70" s="70"/>
      <c r="H70" s="350">
        <f t="shared" si="3"/>
        <v>150</v>
      </c>
      <c r="I70" s="349">
        <f t="shared" si="14"/>
        <v>180</v>
      </c>
      <c r="J70" s="348">
        <f t="shared" si="4"/>
        <v>150</v>
      </c>
      <c r="K70" s="349">
        <f t="shared" si="14"/>
        <v>180</v>
      </c>
      <c r="L70" s="348">
        <f t="shared" si="5"/>
        <v>150</v>
      </c>
      <c r="M70" s="349">
        <f t="shared" si="15"/>
        <v>180</v>
      </c>
      <c r="N70" s="348">
        <f t="shared" si="6"/>
        <v>150</v>
      </c>
      <c r="O70" s="349">
        <f t="shared" si="16"/>
        <v>180</v>
      </c>
      <c r="P70" s="348">
        <f t="shared" si="7"/>
        <v>150</v>
      </c>
      <c r="Q70" s="349">
        <f t="shared" si="17"/>
        <v>180</v>
      </c>
      <c r="R70" s="348">
        <f t="shared" si="8"/>
        <v>150</v>
      </c>
      <c r="S70" s="349">
        <f t="shared" si="18"/>
        <v>180</v>
      </c>
      <c r="T70" s="348">
        <f t="shared" si="9"/>
        <v>150</v>
      </c>
      <c r="U70" s="349">
        <f t="shared" si="19"/>
        <v>180</v>
      </c>
      <c r="V70" s="348">
        <f t="shared" si="20"/>
        <v>150</v>
      </c>
      <c r="W70" s="349">
        <f t="shared" si="21"/>
        <v>180</v>
      </c>
      <c r="X70" s="348">
        <f t="shared" si="46"/>
        <v>150</v>
      </c>
      <c r="Y70" s="349">
        <f t="shared" si="22"/>
        <v>180</v>
      </c>
      <c r="Z70" s="348">
        <f t="shared" si="23"/>
        <v>75</v>
      </c>
      <c r="AA70" s="349">
        <f t="shared" si="10"/>
        <v>90</v>
      </c>
      <c r="AB70" s="348">
        <f>$D70/2</f>
        <v>75</v>
      </c>
      <c r="AC70" s="349">
        <f>$F70/2</f>
        <v>90</v>
      </c>
      <c r="AD70" s="348">
        <f>$D70</f>
        <v>150</v>
      </c>
      <c r="AE70" s="349">
        <f>$F70</f>
        <v>180</v>
      </c>
      <c r="AF70" s="348">
        <f t="shared" si="47"/>
        <v>150</v>
      </c>
      <c r="AG70" s="349">
        <f t="shared" si="24"/>
        <v>180</v>
      </c>
      <c r="AH70" s="348">
        <f t="shared" si="47"/>
        <v>150</v>
      </c>
      <c r="AI70" s="349">
        <f>IF($D$54=1,$F70*2,$F70)</f>
        <v>180</v>
      </c>
      <c r="AJ70" s="348">
        <f t="shared" si="25"/>
        <v>150</v>
      </c>
      <c r="AK70" s="349">
        <f t="shared" si="26"/>
        <v>180</v>
      </c>
      <c r="AL70" s="348">
        <f t="shared" si="48"/>
        <v>150</v>
      </c>
      <c r="AM70" s="349">
        <f t="shared" si="27"/>
        <v>180</v>
      </c>
      <c r="AN70" s="348">
        <f>$D70</f>
        <v>150</v>
      </c>
      <c r="AO70" s="349">
        <f>$F70</f>
        <v>180</v>
      </c>
      <c r="AP70" s="348">
        <f>IF($D$54=3,$D70*2,$D70)</f>
        <v>150</v>
      </c>
      <c r="AQ70" s="349">
        <f>IF($D$54=3,$F70*2,$F70)</f>
        <v>180</v>
      </c>
      <c r="AR70" s="348">
        <f>IF($D$54=3,$D70*2,$D70)</f>
        <v>150</v>
      </c>
      <c r="AS70" s="349">
        <f>IF($D$54=3,$F70*2,$F70)</f>
        <v>180</v>
      </c>
      <c r="AT70" s="348">
        <f t="shared" si="28"/>
        <v>150</v>
      </c>
      <c r="AU70" s="349">
        <f t="shared" si="29"/>
        <v>180</v>
      </c>
      <c r="AV70" s="348">
        <f>IF($D$54=4,$D70*2,$D70/2)</f>
        <v>75</v>
      </c>
      <c r="AW70" s="349">
        <f>IF($D$54=4,$F70*2,$F70/2)</f>
        <v>90</v>
      </c>
      <c r="AX70" s="348">
        <f t="shared" ref="AX70:BB71" si="55">IF($D$54=4,$D70*2,$D70/2)</f>
        <v>75</v>
      </c>
      <c r="AY70" s="349">
        <f>IF($D$54=4,$F70*2,$F70/2)</f>
        <v>90</v>
      </c>
      <c r="AZ70" s="348">
        <f t="shared" si="55"/>
        <v>75</v>
      </c>
      <c r="BA70" s="349">
        <f>IF($D$54=4,$F70*2,$F70/2)</f>
        <v>90</v>
      </c>
      <c r="BB70" s="348">
        <f t="shared" si="55"/>
        <v>75</v>
      </c>
      <c r="BC70" s="349">
        <f>IF($D$54=4,$F70*2,$F70/2)</f>
        <v>90</v>
      </c>
      <c r="BD70" s="348">
        <f t="shared" si="30"/>
        <v>150</v>
      </c>
      <c r="BE70" s="349">
        <f t="shared" si="31"/>
        <v>180</v>
      </c>
      <c r="BF70" s="348">
        <f>IF($D$54=3,$D70*2,$D70)</f>
        <v>150</v>
      </c>
      <c r="BG70" s="349">
        <f>IF($D$54=3,$F70*2,$F70)</f>
        <v>180</v>
      </c>
      <c r="BH70" s="348">
        <f>$D70</f>
        <v>150</v>
      </c>
      <c r="BI70" s="349">
        <f>$F70</f>
        <v>180</v>
      </c>
      <c r="BJ70" s="348">
        <f>$D70</f>
        <v>150</v>
      </c>
      <c r="BK70" s="349">
        <f>$F70</f>
        <v>180</v>
      </c>
      <c r="BL70" s="348">
        <f t="shared" si="32"/>
        <v>150</v>
      </c>
      <c r="BM70" s="349">
        <f t="shared" si="33"/>
        <v>180</v>
      </c>
      <c r="BN70" s="348">
        <f>IF($D$54=3,$D70*2,$D70)</f>
        <v>150</v>
      </c>
      <c r="BO70" s="349">
        <f>IF($D$54=3,$F70*2,$F70)</f>
        <v>180</v>
      </c>
      <c r="BP70" s="348">
        <f t="shared" si="11"/>
        <v>150</v>
      </c>
      <c r="BQ70" s="349">
        <f t="shared" si="34"/>
        <v>180</v>
      </c>
      <c r="BR70" s="348">
        <f t="shared" si="35"/>
        <v>150</v>
      </c>
      <c r="BS70" s="349">
        <f t="shared" si="36"/>
        <v>180</v>
      </c>
      <c r="BT70" s="350">
        <f t="shared" si="50"/>
        <v>150</v>
      </c>
      <c r="BU70" s="349">
        <f t="shared" si="37"/>
        <v>180</v>
      </c>
      <c r="BV70" s="348">
        <f t="shared" si="38"/>
        <v>150</v>
      </c>
      <c r="BW70" s="349">
        <f t="shared" si="39"/>
        <v>180</v>
      </c>
      <c r="BX70" s="348">
        <f>IF($D$54=2,$D70*2,$D70)</f>
        <v>150</v>
      </c>
      <c r="BY70" s="349">
        <f>IF($D$54=2,$F70*2,$F70)</f>
        <v>180</v>
      </c>
      <c r="BZ70" s="350">
        <f>$D70</f>
        <v>150</v>
      </c>
      <c r="CA70" s="349">
        <f>$F70</f>
        <v>180</v>
      </c>
      <c r="CB70" s="348">
        <f>$D70</f>
        <v>150</v>
      </c>
      <c r="CC70" s="349">
        <f>$F70</f>
        <v>180</v>
      </c>
      <c r="CD70" s="348">
        <f>IF($D$54=3,$D70*2,$D70)</f>
        <v>150</v>
      </c>
      <c r="CE70" s="349">
        <f>IF($D$54=3,$F70*2,$F70)</f>
        <v>180</v>
      </c>
      <c r="CF70" s="348">
        <f t="shared" si="51"/>
        <v>150</v>
      </c>
      <c r="CG70" s="349">
        <f t="shared" si="40"/>
        <v>180</v>
      </c>
      <c r="CH70" s="350">
        <f>$D70</f>
        <v>150</v>
      </c>
      <c r="CI70" s="349">
        <f>$F70</f>
        <v>180</v>
      </c>
      <c r="CJ70" s="348">
        <f>IF($D$54=1,$D70*2,$D70)</f>
        <v>150</v>
      </c>
      <c r="CK70" s="349">
        <f>IF($D$54=1,$F70*2,$F70)</f>
        <v>180</v>
      </c>
      <c r="CL70" s="348">
        <f>IF($D$54=2,$D70*2,$D70)</f>
        <v>150</v>
      </c>
      <c r="CM70" s="349">
        <f>IF($D$54=2,$F70*2,$F70)</f>
        <v>180</v>
      </c>
      <c r="CN70" s="350">
        <f t="shared" si="12"/>
        <v>150</v>
      </c>
      <c r="CO70" s="349">
        <f t="shared" si="41"/>
        <v>180</v>
      </c>
      <c r="CP70" s="348">
        <f t="shared" si="12"/>
        <v>150</v>
      </c>
      <c r="CQ70" s="349">
        <f t="shared" si="42"/>
        <v>180</v>
      </c>
      <c r="CR70" s="348">
        <f t="shared" si="12"/>
        <v>150</v>
      </c>
      <c r="CS70" s="349">
        <f t="shared" si="43"/>
        <v>180</v>
      </c>
    </row>
    <row r="71" spans="1:97">
      <c r="A71" s="27" t="s">
        <v>209</v>
      </c>
      <c r="B71" s="326">
        <v>20</v>
      </c>
      <c r="C71" s="326">
        <v>70</v>
      </c>
      <c r="D71" s="351">
        <f>ROUNDDOWN(B71*(1+$D$53*0.1),0)</f>
        <v>60</v>
      </c>
      <c r="E71" s="352">
        <f t="shared" si="13"/>
        <v>135</v>
      </c>
      <c r="F71" s="353">
        <f>C71*(1+$D$53*0.1)</f>
        <v>210</v>
      </c>
      <c r="G71" s="73"/>
      <c r="H71" s="354">
        <f t="shared" si="3"/>
        <v>60</v>
      </c>
      <c r="I71" s="355">
        <f t="shared" si="14"/>
        <v>210</v>
      </c>
      <c r="J71" s="356">
        <f t="shared" si="4"/>
        <v>60</v>
      </c>
      <c r="K71" s="355">
        <f t="shared" si="14"/>
        <v>210</v>
      </c>
      <c r="L71" s="356">
        <f t="shared" si="5"/>
        <v>60</v>
      </c>
      <c r="M71" s="355">
        <f t="shared" si="15"/>
        <v>210</v>
      </c>
      <c r="N71" s="356">
        <f t="shared" si="6"/>
        <v>60</v>
      </c>
      <c r="O71" s="355">
        <f t="shared" si="16"/>
        <v>210</v>
      </c>
      <c r="P71" s="356">
        <f t="shared" si="7"/>
        <v>60</v>
      </c>
      <c r="Q71" s="355">
        <f t="shared" si="17"/>
        <v>210</v>
      </c>
      <c r="R71" s="356">
        <f t="shared" si="8"/>
        <v>60</v>
      </c>
      <c r="S71" s="355">
        <f t="shared" si="18"/>
        <v>210</v>
      </c>
      <c r="T71" s="356">
        <f t="shared" si="9"/>
        <v>60</v>
      </c>
      <c r="U71" s="355">
        <f t="shared" si="19"/>
        <v>210</v>
      </c>
      <c r="V71" s="356">
        <f t="shared" si="20"/>
        <v>60</v>
      </c>
      <c r="W71" s="355">
        <f t="shared" si="21"/>
        <v>210</v>
      </c>
      <c r="X71" s="356">
        <f t="shared" si="46"/>
        <v>60</v>
      </c>
      <c r="Y71" s="355">
        <f t="shared" si="22"/>
        <v>210</v>
      </c>
      <c r="Z71" s="356">
        <f t="shared" si="23"/>
        <v>30</v>
      </c>
      <c r="AA71" s="355">
        <f t="shared" si="10"/>
        <v>105</v>
      </c>
      <c r="AB71" s="356">
        <f>$D71/2</f>
        <v>30</v>
      </c>
      <c r="AC71" s="355">
        <f>$F71/2</f>
        <v>105</v>
      </c>
      <c r="AD71" s="356">
        <f>$D71</f>
        <v>60</v>
      </c>
      <c r="AE71" s="355">
        <f>$F71</f>
        <v>210</v>
      </c>
      <c r="AF71" s="356">
        <f t="shared" si="47"/>
        <v>60</v>
      </c>
      <c r="AG71" s="355">
        <f t="shared" si="24"/>
        <v>210</v>
      </c>
      <c r="AH71" s="356">
        <f t="shared" si="47"/>
        <v>60</v>
      </c>
      <c r="AI71" s="355">
        <f>IF($D$54=1,$F71*2,$F71)</f>
        <v>210</v>
      </c>
      <c r="AJ71" s="356">
        <f t="shared" si="25"/>
        <v>60</v>
      </c>
      <c r="AK71" s="355">
        <f t="shared" si="26"/>
        <v>210</v>
      </c>
      <c r="AL71" s="356">
        <f t="shared" si="48"/>
        <v>60</v>
      </c>
      <c r="AM71" s="355">
        <f t="shared" si="27"/>
        <v>210</v>
      </c>
      <c r="AN71" s="356">
        <f>$D71</f>
        <v>60</v>
      </c>
      <c r="AO71" s="355">
        <f>$F71</f>
        <v>210</v>
      </c>
      <c r="AP71" s="356">
        <f>IF($D$54=3,$D71*2,$D71)</f>
        <v>60</v>
      </c>
      <c r="AQ71" s="355">
        <f>IF($D$54=3,$F71*2,$F71)</f>
        <v>210</v>
      </c>
      <c r="AR71" s="356">
        <f>IF($D$54=3,$D71*2,$D71)</f>
        <v>60</v>
      </c>
      <c r="AS71" s="355">
        <f>IF($D$54=3,$F71*2,$F71)</f>
        <v>210</v>
      </c>
      <c r="AT71" s="356">
        <f t="shared" si="28"/>
        <v>60</v>
      </c>
      <c r="AU71" s="355">
        <f t="shared" si="29"/>
        <v>210</v>
      </c>
      <c r="AV71" s="356">
        <f>IF($D$54=4,$D71*2,$D71/2)</f>
        <v>30</v>
      </c>
      <c r="AW71" s="355">
        <f>IF($D$54=4,$F71*2,$F71/2)</f>
        <v>105</v>
      </c>
      <c r="AX71" s="356">
        <f t="shared" si="55"/>
        <v>30</v>
      </c>
      <c r="AY71" s="355">
        <f>IF($D$54=4,$F71*2,$F71/2)</f>
        <v>105</v>
      </c>
      <c r="AZ71" s="356">
        <f t="shared" si="55"/>
        <v>30</v>
      </c>
      <c r="BA71" s="355">
        <f>IF($D$54=4,$F71*2,$F71/2)</f>
        <v>105</v>
      </c>
      <c r="BB71" s="356">
        <f t="shared" si="55"/>
        <v>30</v>
      </c>
      <c r="BC71" s="355">
        <f>IF($D$54=4,$F71*2,$F71/2)</f>
        <v>105</v>
      </c>
      <c r="BD71" s="356">
        <f t="shared" si="30"/>
        <v>60</v>
      </c>
      <c r="BE71" s="355">
        <f t="shared" si="31"/>
        <v>210</v>
      </c>
      <c r="BF71" s="356">
        <f>IF($D$54=3,$D71*2,$D71)</f>
        <v>60</v>
      </c>
      <c r="BG71" s="355">
        <f>IF($D$54=3,$F71*2,$F71)</f>
        <v>210</v>
      </c>
      <c r="BH71" s="356">
        <f>$D71</f>
        <v>60</v>
      </c>
      <c r="BI71" s="355">
        <f>$F71</f>
        <v>210</v>
      </c>
      <c r="BJ71" s="356">
        <f>$D71</f>
        <v>60</v>
      </c>
      <c r="BK71" s="355">
        <f>$F71</f>
        <v>210</v>
      </c>
      <c r="BL71" s="356">
        <f t="shared" si="32"/>
        <v>60</v>
      </c>
      <c r="BM71" s="355">
        <f t="shared" si="33"/>
        <v>210</v>
      </c>
      <c r="BN71" s="356">
        <f>IF($D$54=3,$D71*2,$D71)</f>
        <v>60</v>
      </c>
      <c r="BO71" s="355">
        <f>IF($D$54=3,$F71*2,$F71)</f>
        <v>210</v>
      </c>
      <c r="BP71" s="356">
        <f t="shared" si="11"/>
        <v>60</v>
      </c>
      <c r="BQ71" s="355">
        <f t="shared" si="34"/>
        <v>210</v>
      </c>
      <c r="BR71" s="356">
        <f t="shared" si="35"/>
        <v>60</v>
      </c>
      <c r="BS71" s="355">
        <f t="shared" si="36"/>
        <v>210</v>
      </c>
      <c r="BT71" s="354">
        <f t="shared" si="50"/>
        <v>60</v>
      </c>
      <c r="BU71" s="355">
        <f t="shared" si="37"/>
        <v>210</v>
      </c>
      <c r="BV71" s="356">
        <f t="shared" si="38"/>
        <v>60</v>
      </c>
      <c r="BW71" s="355">
        <f t="shared" si="39"/>
        <v>210</v>
      </c>
      <c r="BX71" s="356">
        <f>IF($D$54=2,$D71*2,$D71)</f>
        <v>60</v>
      </c>
      <c r="BY71" s="355">
        <f>IF($D$54=2,$F71*2,$F71)</f>
        <v>210</v>
      </c>
      <c r="BZ71" s="354">
        <f>$D71</f>
        <v>60</v>
      </c>
      <c r="CA71" s="355">
        <f>$F71</f>
        <v>210</v>
      </c>
      <c r="CB71" s="356">
        <f>$D71</f>
        <v>60</v>
      </c>
      <c r="CC71" s="355">
        <f>$F71</f>
        <v>210</v>
      </c>
      <c r="CD71" s="356">
        <f>IF($D$54=3,$D71*2,$D71)</f>
        <v>60</v>
      </c>
      <c r="CE71" s="355">
        <f>IF($D$54=3,$F71*2,$F71)</f>
        <v>210</v>
      </c>
      <c r="CF71" s="356">
        <f t="shared" si="51"/>
        <v>60</v>
      </c>
      <c r="CG71" s="355">
        <f t="shared" si="40"/>
        <v>210</v>
      </c>
      <c r="CH71" s="354">
        <f>$D71</f>
        <v>60</v>
      </c>
      <c r="CI71" s="355">
        <f>$F71</f>
        <v>210</v>
      </c>
      <c r="CJ71" s="356">
        <f>IF($D$54=1,$D71*2,$D71)</f>
        <v>60</v>
      </c>
      <c r="CK71" s="355">
        <f>IF($D$54=1,$F71*2,$F71)</f>
        <v>210</v>
      </c>
      <c r="CL71" s="356">
        <f>IF($D$54=2,$D71*2,$D71)</f>
        <v>60</v>
      </c>
      <c r="CM71" s="355">
        <f>IF($D$54=2,$F71*2,$F71)</f>
        <v>210</v>
      </c>
      <c r="CN71" s="354">
        <f t="shared" si="12"/>
        <v>60</v>
      </c>
      <c r="CO71" s="355">
        <f t="shared" si="41"/>
        <v>210</v>
      </c>
      <c r="CP71" s="356">
        <f t="shared" si="12"/>
        <v>60</v>
      </c>
      <c r="CQ71" s="355">
        <f t="shared" si="42"/>
        <v>210</v>
      </c>
      <c r="CR71" s="356">
        <f t="shared" si="12"/>
        <v>60</v>
      </c>
      <c r="CS71" s="355">
        <f t="shared" si="43"/>
        <v>210</v>
      </c>
    </row>
    <row r="72" spans="1:97">
      <c r="A72" s="105" t="s">
        <v>239</v>
      </c>
      <c r="B72" s="238">
        <v>160</v>
      </c>
      <c r="C72" s="238">
        <v>240</v>
      </c>
      <c r="D72" s="344">
        <f>ROUNDDOWN(B72*(1+$D$53*0.1),0)</f>
        <v>480</v>
      </c>
      <c r="E72" s="345">
        <f t="shared" si="13"/>
        <v>600</v>
      </c>
      <c r="F72" s="347">
        <f>C72*(1+$D$53*0.1)</f>
        <v>720</v>
      </c>
      <c r="G72" s="70"/>
      <c r="H72" s="350">
        <f t="shared" si="3"/>
        <v>480</v>
      </c>
      <c r="I72" s="349">
        <f t="shared" si="14"/>
        <v>720</v>
      </c>
      <c r="J72" s="348">
        <f t="shared" si="4"/>
        <v>480</v>
      </c>
      <c r="K72" s="349">
        <f t="shared" si="14"/>
        <v>720</v>
      </c>
      <c r="L72" s="348">
        <f t="shared" si="5"/>
        <v>480</v>
      </c>
      <c r="M72" s="349">
        <f t="shared" si="15"/>
        <v>720</v>
      </c>
      <c r="N72" s="348">
        <f t="shared" si="6"/>
        <v>480</v>
      </c>
      <c r="O72" s="349">
        <f t="shared" si="16"/>
        <v>720</v>
      </c>
      <c r="P72" s="348">
        <f t="shared" si="7"/>
        <v>480</v>
      </c>
      <c r="Q72" s="349">
        <f t="shared" si="17"/>
        <v>720</v>
      </c>
      <c r="R72" s="348">
        <f t="shared" si="8"/>
        <v>480</v>
      </c>
      <c r="S72" s="349">
        <f t="shared" si="18"/>
        <v>720</v>
      </c>
      <c r="T72" s="348">
        <f t="shared" si="9"/>
        <v>480</v>
      </c>
      <c r="U72" s="349">
        <f t="shared" si="19"/>
        <v>720</v>
      </c>
      <c r="V72" s="348">
        <f t="shared" si="20"/>
        <v>480</v>
      </c>
      <c r="W72" s="349">
        <f t="shared" si="21"/>
        <v>720</v>
      </c>
      <c r="X72" s="348">
        <f t="shared" si="46"/>
        <v>480</v>
      </c>
      <c r="Y72" s="349">
        <f t="shared" si="22"/>
        <v>720</v>
      </c>
      <c r="Z72" s="348">
        <f t="shared" si="23"/>
        <v>240</v>
      </c>
      <c r="AA72" s="349">
        <f t="shared" si="10"/>
        <v>360</v>
      </c>
      <c r="AB72" s="348">
        <f>$D72/2/4</f>
        <v>60</v>
      </c>
      <c r="AC72" s="349">
        <f>$F72/2/4</f>
        <v>90</v>
      </c>
      <c r="AD72" s="348">
        <f>$D72</f>
        <v>480</v>
      </c>
      <c r="AE72" s="349">
        <f>$F72</f>
        <v>720</v>
      </c>
      <c r="AF72" s="348">
        <f t="shared" si="47"/>
        <v>480</v>
      </c>
      <c r="AG72" s="349">
        <f t="shared" si="24"/>
        <v>720</v>
      </c>
      <c r="AH72" s="348">
        <f>IF($D$54=1,$D72*2/4,$D72/4)</f>
        <v>120</v>
      </c>
      <c r="AI72" s="349">
        <f>IF($D$54=1,$F72*2/4,$F72/4)</f>
        <v>180</v>
      </c>
      <c r="AJ72" s="348">
        <f t="shared" si="25"/>
        <v>480</v>
      </c>
      <c r="AK72" s="349">
        <f t="shared" si="26"/>
        <v>720</v>
      </c>
      <c r="AL72" s="348">
        <f t="shared" si="48"/>
        <v>480</v>
      </c>
      <c r="AM72" s="349">
        <f t="shared" si="27"/>
        <v>720</v>
      </c>
      <c r="AN72" s="348">
        <f>$D72/4</f>
        <v>120</v>
      </c>
      <c r="AO72" s="349">
        <f>$F72/4</f>
        <v>180</v>
      </c>
      <c r="AP72" s="348">
        <f>IF($D$54=3,$D72*2*3,$D72*3)</f>
        <v>1440</v>
      </c>
      <c r="AQ72" s="349">
        <f>IF($D$54=3,$F72*2*3,$F72*3)</f>
        <v>2160</v>
      </c>
      <c r="AR72" s="348">
        <f>IF($D$54=3,$D72*2/4,$D72/4)</f>
        <v>120</v>
      </c>
      <c r="AS72" s="349">
        <f>IF($D$54=3,$F72*2/4,$F72/4)</f>
        <v>180</v>
      </c>
      <c r="AT72" s="348">
        <f t="shared" si="28"/>
        <v>480</v>
      </c>
      <c r="AU72" s="349">
        <f t="shared" si="29"/>
        <v>720</v>
      </c>
      <c r="AV72" s="348">
        <f>IF($D$54=4,$D72*2,$D72/2)</f>
        <v>240</v>
      </c>
      <c r="AW72" s="349">
        <f>IF($D$54=4,$F72*2,$F72/2)</f>
        <v>360</v>
      </c>
      <c r="AX72" s="348">
        <f>IF($D$54=4,$D72*2/4,$D72/4/2)</f>
        <v>60</v>
      </c>
      <c r="AY72" s="349">
        <f>IF($D$54=4,$F72*2/4,$F72/4/2)</f>
        <v>90</v>
      </c>
      <c r="AZ72" s="348">
        <f>IF($D$54=4,$D72*2/4,$D72/4/2)</f>
        <v>60</v>
      </c>
      <c r="BA72" s="349">
        <f>IF($D$54=4,$F72*2/4,$F72/4/2)</f>
        <v>90</v>
      </c>
      <c r="BB72" s="348">
        <f>IF($D$54=4,$D72*2*3,$D72*3/2)</f>
        <v>720</v>
      </c>
      <c r="BC72" s="349">
        <f>IF($D$54=4,$F72*2*3,$F72*3/2)</f>
        <v>1080</v>
      </c>
      <c r="BD72" s="348">
        <f t="shared" si="30"/>
        <v>480</v>
      </c>
      <c r="BE72" s="349">
        <f t="shared" si="31"/>
        <v>720</v>
      </c>
      <c r="BF72" s="348">
        <f>IF($D$54=3,$D72*2/4,$D72/4)</f>
        <v>120</v>
      </c>
      <c r="BG72" s="349">
        <f>IF($D$54=3,$F72*2/4,$F72/4)</f>
        <v>180</v>
      </c>
      <c r="BH72" s="348">
        <f>$D72/4</f>
        <v>120</v>
      </c>
      <c r="BI72" s="349">
        <f>$F72/4</f>
        <v>180</v>
      </c>
      <c r="BJ72" s="348">
        <f>$D72/4</f>
        <v>120</v>
      </c>
      <c r="BK72" s="349">
        <f>$F72/4</f>
        <v>180</v>
      </c>
      <c r="BL72" s="348">
        <f t="shared" si="32"/>
        <v>480</v>
      </c>
      <c r="BM72" s="349">
        <f t="shared" si="33"/>
        <v>720</v>
      </c>
      <c r="BN72" s="348">
        <f>IF($D$54=3,$D72*2*3,$D72*3)</f>
        <v>1440</v>
      </c>
      <c r="BO72" s="349">
        <f>IF($D$54=3,$F72*2*3,$F72*3)</f>
        <v>2160</v>
      </c>
      <c r="BP72" s="348">
        <f t="shared" si="11"/>
        <v>480</v>
      </c>
      <c r="BQ72" s="349">
        <f t="shared" si="34"/>
        <v>720</v>
      </c>
      <c r="BR72" s="348">
        <f t="shared" si="35"/>
        <v>480</v>
      </c>
      <c r="BS72" s="349">
        <f t="shared" si="36"/>
        <v>720</v>
      </c>
      <c r="BT72" s="350">
        <f t="shared" si="50"/>
        <v>480</v>
      </c>
      <c r="BU72" s="349">
        <f t="shared" si="37"/>
        <v>720</v>
      </c>
      <c r="BV72" s="348">
        <f t="shared" si="38"/>
        <v>480</v>
      </c>
      <c r="BW72" s="349">
        <f t="shared" si="39"/>
        <v>720</v>
      </c>
      <c r="BX72" s="348">
        <f>IF($D$54=2,$D72*2*3/4,$D72*3/4)</f>
        <v>360</v>
      </c>
      <c r="BY72" s="349">
        <f>IF($D$54=2,$F72*2*3/4,$F72*3/4)</f>
        <v>540</v>
      </c>
      <c r="BZ72" s="350">
        <f>$D72</f>
        <v>480</v>
      </c>
      <c r="CA72" s="349">
        <f>$F72</f>
        <v>720</v>
      </c>
      <c r="CB72" s="348">
        <f>$D72*3</f>
        <v>1440</v>
      </c>
      <c r="CC72" s="349">
        <f>$F72*3</f>
        <v>2160</v>
      </c>
      <c r="CD72" s="348">
        <f>IF($D$54=3,$D72*2/4,$D72/4)</f>
        <v>120</v>
      </c>
      <c r="CE72" s="349">
        <f>IF($D$54=3,$F72*2/4,$F72/4)</f>
        <v>180</v>
      </c>
      <c r="CF72" s="348">
        <f t="shared" si="51"/>
        <v>480</v>
      </c>
      <c r="CG72" s="349">
        <f t="shared" si="40"/>
        <v>720</v>
      </c>
      <c r="CH72" s="350">
        <f>$D72</f>
        <v>480</v>
      </c>
      <c r="CI72" s="349">
        <f>$F72</f>
        <v>720</v>
      </c>
      <c r="CJ72" s="348">
        <f>IF($D$54=1,$D72*2*3,$D72*3)</f>
        <v>1440</v>
      </c>
      <c r="CK72" s="349">
        <f>IF($D$54=1,$F72*2*3,$F72*3)</f>
        <v>2160</v>
      </c>
      <c r="CL72" s="348">
        <f>IF($D$54=2,$D72*2/4,$D72/4)</f>
        <v>120</v>
      </c>
      <c r="CM72" s="349">
        <f>IF($D$54=2,$F72*2/4,$F72/4)</f>
        <v>180</v>
      </c>
      <c r="CN72" s="350">
        <f t="shared" si="12"/>
        <v>480</v>
      </c>
      <c r="CO72" s="349">
        <f t="shared" si="41"/>
        <v>720</v>
      </c>
      <c r="CP72" s="348">
        <f t="shared" si="12"/>
        <v>480</v>
      </c>
      <c r="CQ72" s="349">
        <f t="shared" si="42"/>
        <v>720</v>
      </c>
      <c r="CR72" s="348">
        <f t="shared" si="12"/>
        <v>480</v>
      </c>
      <c r="CS72" s="349">
        <f t="shared" si="43"/>
        <v>720</v>
      </c>
    </row>
    <row r="73" spans="1:97">
      <c r="A73" s="339" t="s">
        <v>243</v>
      </c>
      <c r="B73" s="238">
        <v>140</v>
      </c>
      <c r="C73" s="238">
        <v>200</v>
      </c>
      <c r="D73" s="344">
        <f>ROUNDDOWN(B73*(1+$D$53*0.1),0)</f>
        <v>420</v>
      </c>
      <c r="E73" s="345">
        <f t="shared" si="13"/>
        <v>510</v>
      </c>
      <c r="F73" s="347">
        <f>C73*(1+$D$53*0.1)</f>
        <v>600</v>
      </c>
      <c r="G73" s="70"/>
      <c r="H73" s="350">
        <f t="shared" si="3"/>
        <v>420</v>
      </c>
      <c r="I73" s="349">
        <f t="shared" si="14"/>
        <v>600</v>
      </c>
      <c r="J73" s="348">
        <f t="shared" si="4"/>
        <v>420</v>
      </c>
      <c r="K73" s="349">
        <f t="shared" si="14"/>
        <v>600</v>
      </c>
      <c r="L73" s="348">
        <f t="shared" si="5"/>
        <v>420</v>
      </c>
      <c r="M73" s="349">
        <f t="shared" si="15"/>
        <v>600</v>
      </c>
      <c r="N73" s="348">
        <f t="shared" si="6"/>
        <v>420</v>
      </c>
      <c r="O73" s="349">
        <f t="shared" si="16"/>
        <v>600</v>
      </c>
      <c r="P73" s="348">
        <f t="shared" si="7"/>
        <v>420</v>
      </c>
      <c r="Q73" s="349">
        <f t="shared" si="17"/>
        <v>600</v>
      </c>
      <c r="R73" s="348">
        <f t="shared" si="8"/>
        <v>420</v>
      </c>
      <c r="S73" s="349">
        <f t="shared" si="18"/>
        <v>600</v>
      </c>
      <c r="T73" s="348">
        <f t="shared" si="9"/>
        <v>420</v>
      </c>
      <c r="U73" s="349">
        <f t="shared" si="19"/>
        <v>600</v>
      </c>
      <c r="V73" s="348">
        <f t="shared" si="20"/>
        <v>420</v>
      </c>
      <c r="W73" s="349">
        <f t="shared" si="21"/>
        <v>600</v>
      </c>
      <c r="X73" s="348">
        <f t="shared" si="46"/>
        <v>420</v>
      </c>
      <c r="Y73" s="349">
        <f t="shared" si="22"/>
        <v>600</v>
      </c>
      <c r="Z73" s="348">
        <f t="shared" si="23"/>
        <v>210</v>
      </c>
      <c r="AA73" s="349">
        <f t="shared" si="10"/>
        <v>300</v>
      </c>
      <c r="AB73" s="348">
        <f>$D73/2/4</f>
        <v>52.5</v>
      </c>
      <c r="AC73" s="349">
        <f>$F73/2/4</f>
        <v>75</v>
      </c>
      <c r="AD73" s="348">
        <f>$D73*3</f>
        <v>1260</v>
      </c>
      <c r="AE73" s="349">
        <f>$F73*3</f>
        <v>1800</v>
      </c>
      <c r="AF73" s="348">
        <f t="shared" si="47"/>
        <v>420</v>
      </c>
      <c r="AG73" s="349">
        <f t="shared" si="24"/>
        <v>600</v>
      </c>
      <c r="AH73" s="348">
        <f t="shared" si="47"/>
        <v>420</v>
      </c>
      <c r="AI73" s="349">
        <f>IF($D$54=1,$F73*2,$F73)</f>
        <v>600</v>
      </c>
      <c r="AJ73" s="348">
        <f t="shared" si="25"/>
        <v>420</v>
      </c>
      <c r="AK73" s="349">
        <f t="shared" si="26"/>
        <v>600</v>
      </c>
      <c r="AL73" s="348">
        <f t="shared" si="48"/>
        <v>420</v>
      </c>
      <c r="AM73" s="349">
        <f t="shared" si="27"/>
        <v>600</v>
      </c>
      <c r="AN73" s="348">
        <f>$D73*3/4</f>
        <v>315</v>
      </c>
      <c r="AO73" s="349">
        <f>$F73*3/4</f>
        <v>450</v>
      </c>
      <c r="AP73" s="348">
        <f>IF($D$54=3,$D73*2/4,$D73/4)</f>
        <v>105</v>
      </c>
      <c r="AQ73" s="349">
        <f>IF($D$54=3,$F73*2/4,$F73/4)</f>
        <v>150</v>
      </c>
      <c r="AR73" s="348">
        <f>IF($D$54=3,$D73*2/4,$D73/4)</f>
        <v>105</v>
      </c>
      <c r="AS73" s="349">
        <f>IF($D$54=3,$F73*2/4,$F73/4)</f>
        <v>150</v>
      </c>
      <c r="AT73" s="348">
        <f t="shared" si="28"/>
        <v>420</v>
      </c>
      <c r="AU73" s="349">
        <f t="shared" si="29"/>
        <v>600</v>
      </c>
      <c r="AV73" s="348">
        <f>IF($D$54=4,$D73*2*3,$D73*3/2)</f>
        <v>630</v>
      </c>
      <c r="AW73" s="349">
        <f>IF($D$54=4,$F73*2*3,$F73*3/2)</f>
        <v>900</v>
      </c>
      <c r="AX73" s="348">
        <f>IF($D$54=4,$D73*2,$D73/2)</f>
        <v>210</v>
      </c>
      <c r="AY73" s="349">
        <f>IF($D$54=4,$F73*2,$F73/2)</f>
        <v>300</v>
      </c>
      <c r="AZ73" s="348">
        <f>IF($D$54=4,$D73*2/4,$D73/4/2)</f>
        <v>52.5</v>
      </c>
      <c r="BA73" s="349">
        <f>IF($D$54=4,$F73*2/4,$F73/4/2)</f>
        <v>75</v>
      </c>
      <c r="BB73" s="348">
        <f>IF($D$54=4,$D73*2/4,$D73/4/2)</f>
        <v>52.5</v>
      </c>
      <c r="BC73" s="349">
        <f>IF($D$54=4,$F73*2/4,$F73/4/2)</f>
        <v>75</v>
      </c>
      <c r="BD73" s="348">
        <f t="shared" si="30"/>
        <v>420</v>
      </c>
      <c r="BE73" s="349">
        <f t="shared" si="31"/>
        <v>600</v>
      </c>
      <c r="BF73" s="348">
        <f>IF($D$54=3,$D73*2/4,$D73/4)</f>
        <v>105</v>
      </c>
      <c r="BG73" s="349">
        <f>IF($D$54=3,$F73*2/4,$F73/4)</f>
        <v>150</v>
      </c>
      <c r="BH73" s="348">
        <f>$D73</f>
        <v>420</v>
      </c>
      <c r="BI73" s="349">
        <f>$F73</f>
        <v>600</v>
      </c>
      <c r="BJ73" s="348">
        <f>$D73/4</f>
        <v>105</v>
      </c>
      <c r="BK73" s="349">
        <f>$F73/4</f>
        <v>150</v>
      </c>
      <c r="BL73" s="348">
        <f t="shared" si="32"/>
        <v>420</v>
      </c>
      <c r="BM73" s="349">
        <f t="shared" si="33"/>
        <v>600</v>
      </c>
      <c r="BN73" s="348">
        <f>IF($D$54=3,$D73*2/4,$D73/4)</f>
        <v>105</v>
      </c>
      <c r="BO73" s="349">
        <f>IF($D$54=3,$F73*2/4,$F73/4)</f>
        <v>150</v>
      </c>
      <c r="BP73" s="348">
        <f t="shared" si="11"/>
        <v>420</v>
      </c>
      <c r="BQ73" s="349">
        <f t="shared" si="34"/>
        <v>600</v>
      </c>
      <c r="BR73" s="348">
        <f t="shared" si="35"/>
        <v>420</v>
      </c>
      <c r="BS73" s="349">
        <f t="shared" si="36"/>
        <v>600</v>
      </c>
      <c r="BT73" s="350">
        <f t="shared" si="50"/>
        <v>420</v>
      </c>
      <c r="BU73" s="349">
        <f t="shared" si="37"/>
        <v>600</v>
      </c>
      <c r="BV73" s="348">
        <f t="shared" si="38"/>
        <v>420</v>
      </c>
      <c r="BW73" s="349">
        <f t="shared" si="39"/>
        <v>600</v>
      </c>
      <c r="BX73" s="348">
        <f>IF($D$54=2,$D73*2/4,$D73/4)</f>
        <v>105</v>
      </c>
      <c r="BY73" s="349">
        <f>IF($D$54=2,$F73*2/4,$F73/4)</f>
        <v>150</v>
      </c>
      <c r="BZ73" s="350">
        <f>$D73*3</f>
        <v>1260</v>
      </c>
      <c r="CA73" s="349">
        <f>$F73*3</f>
        <v>1800</v>
      </c>
      <c r="CB73" s="348">
        <f>$D73/4</f>
        <v>105</v>
      </c>
      <c r="CC73" s="349">
        <f>$F73/4</f>
        <v>150</v>
      </c>
      <c r="CD73" s="348">
        <f>IF($D$54=3,$D73*2/4,$D73/4)</f>
        <v>105</v>
      </c>
      <c r="CE73" s="349">
        <f>IF($D$54=3,$F73*2/4,$F73/4)</f>
        <v>150</v>
      </c>
      <c r="CF73" s="348">
        <f t="shared" si="51"/>
        <v>420</v>
      </c>
      <c r="CG73" s="349">
        <f t="shared" si="40"/>
        <v>600</v>
      </c>
      <c r="CH73" s="350">
        <f>$D73*3</f>
        <v>1260</v>
      </c>
      <c r="CI73" s="349">
        <f>$F73*3</f>
        <v>1800</v>
      </c>
      <c r="CJ73" s="348">
        <f>IF($D$54=1,$D73*2/4,$D73/4)</f>
        <v>105</v>
      </c>
      <c r="CK73" s="349">
        <f>IF($D$54=1,$F73*2/4,$F73/4)</f>
        <v>150</v>
      </c>
      <c r="CL73" s="348">
        <f>IF($D$54=2,$D73*2/4,$D73/4)</f>
        <v>105</v>
      </c>
      <c r="CM73" s="349">
        <f>IF($D$54=2,$F73*2/4,$F73/4)</f>
        <v>150</v>
      </c>
      <c r="CN73" s="350">
        <f t="shared" si="12"/>
        <v>420</v>
      </c>
      <c r="CO73" s="349">
        <f t="shared" si="41"/>
        <v>600</v>
      </c>
      <c r="CP73" s="348">
        <f t="shared" si="12"/>
        <v>420</v>
      </c>
      <c r="CQ73" s="349">
        <f t="shared" si="42"/>
        <v>600</v>
      </c>
      <c r="CR73" s="348">
        <f t="shared" si="12"/>
        <v>420</v>
      </c>
      <c r="CS73" s="349">
        <f t="shared" si="43"/>
        <v>600</v>
      </c>
    </row>
    <row r="74" spans="1:97">
      <c r="A74" s="340" t="s">
        <v>263</v>
      </c>
      <c r="B74" s="238">
        <v>150</v>
      </c>
      <c r="C74" s="238">
        <v>250</v>
      </c>
      <c r="D74" s="344">
        <f t="shared" ref="D74:D76" si="56">ROUNDDOWN(B74*(1+$D$53*0.1),0)</f>
        <v>450</v>
      </c>
      <c r="E74" s="345">
        <f t="shared" si="13"/>
        <v>600</v>
      </c>
      <c r="F74" s="347">
        <f t="shared" ref="F74:F76" si="57">C74*(1+$D$53*0.1)</f>
        <v>750</v>
      </c>
      <c r="G74" s="70"/>
      <c r="H74" s="350">
        <f t="shared" si="3"/>
        <v>450</v>
      </c>
      <c r="I74" s="349">
        <f t="shared" si="14"/>
        <v>750</v>
      </c>
      <c r="J74" s="348">
        <f t="shared" si="4"/>
        <v>450</v>
      </c>
      <c r="K74" s="349">
        <f t="shared" si="14"/>
        <v>750</v>
      </c>
      <c r="L74" s="348">
        <f t="shared" si="5"/>
        <v>450</v>
      </c>
      <c r="M74" s="349">
        <f t="shared" si="15"/>
        <v>750</v>
      </c>
      <c r="N74" s="348">
        <f t="shared" si="6"/>
        <v>450</v>
      </c>
      <c r="O74" s="349">
        <f t="shared" si="16"/>
        <v>750</v>
      </c>
      <c r="P74" s="348">
        <f t="shared" si="7"/>
        <v>450</v>
      </c>
      <c r="Q74" s="349">
        <f t="shared" si="17"/>
        <v>750</v>
      </c>
      <c r="R74" s="348">
        <f t="shared" si="8"/>
        <v>450</v>
      </c>
      <c r="S74" s="349">
        <f t="shared" si="18"/>
        <v>750</v>
      </c>
      <c r="T74" s="348">
        <f t="shared" si="9"/>
        <v>450</v>
      </c>
      <c r="U74" s="349">
        <f t="shared" si="19"/>
        <v>750</v>
      </c>
      <c r="V74" s="348">
        <f t="shared" si="20"/>
        <v>450</v>
      </c>
      <c r="W74" s="349">
        <f t="shared" si="21"/>
        <v>750</v>
      </c>
      <c r="X74" s="348">
        <f t="shared" si="46"/>
        <v>450</v>
      </c>
      <c r="Y74" s="349">
        <f t="shared" si="22"/>
        <v>750</v>
      </c>
      <c r="Z74" s="348">
        <f t="shared" si="23"/>
        <v>225</v>
      </c>
      <c r="AA74" s="349">
        <f t="shared" si="10"/>
        <v>375</v>
      </c>
      <c r="AB74" s="348">
        <f>$D74/2*3</f>
        <v>675</v>
      </c>
      <c r="AC74" s="349">
        <f>$F74/2*3</f>
        <v>1125</v>
      </c>
      <c r="AD74" s="348">
        <f>$D74/4</f>
        <v>112.5</v>
      </c>
      <c r="AE74" s="349">
        <f>$F74/4</f>
        <v>187.5</v>
      </c>
      <c r="AF74" s="348">
        <f t="shared" si="47"/>
        <v>450</v>
      </c>
      <c r="AG74" s="349">
        <f t="shared" si="24"/>
        <v>750</v>
      </c>
      <c r="AH74" s="348">
        <f>IF($D$54=1,$D74*2/4,$D74/4)</f>
        <v>112.5</v>
      </c>
      <c r="AI74" s="349">
        <f>IF($D$54=1,$F74*2/4,$F74/4)</f>
        <v>187.5</v>
      </c>
      <c r="AJ74" s="348">
        <f t="shared" si="25"/>
        <v>450</v>
      </c>
      <c r="AK74" s="349">
        <f t="shared" si="26"/>
        <v>750</v>
      </c>
      <c r="AL74" s="348">
        <f t="shared" si="48"/>
        <v>450</v>
      </c>
      <c r="AM74" s="349">
        <f t="shared" si="27"/>
        <v>750</v>
      </c>
      <c r="AN74" s="348">
        <f>$D74*3/4</f>
        <v>337.5</v>
      </c>
      <c r="AO74" s="349">
        <f>$F74*3/4</f>
        <v>562.5</v>
      </c>
      <c r="AP74" s="348">
        <f>IF($D$54=3,$D74*2,$D74)</f>
        <v>450</v>
      </c>
      <c r="AQ74" s="349">
        <f>IF($D$54=3,$F74*2,$F74)</f>
        <v>750</v>
      </c>
      <c r="AR74" s="348">
        <f>IF($D$54=3,$D74*2*3,$D74*3)</f>
        <v>1350</v>
      </c>
      <c r="AS74" s="349">
        <f>IF($D$54=3,$F74*2*3,$F74*3)</f>
        <v>2250</v>
      </c>
      <c r="AT74" s="348">
        <f t="shared" si="28"/>
        <v>450</v>
      </c>
      <c r="AU74" s="349">
        <f t="shared" si="29"/>
        <v>750</v>
      </c>
      <c r="AV74" s="348">
        <f>IF($D$54=4,$D74*2/4,$D74/4/2)</f>
        <v>56.25</v>
      </c>
      <c r="AW74" s="349">
        <f>IF($D$54=4,$F74*2/4,$F74/4/2)</f>
        <v>93.75</v>
      </c>
      <c r="AX74" s="348">
        <f>IF($D$54=4,$D74*2/4,$D74/4/2)</f>
        <v>56.25</v>
      </c>
      <c r="AY74" s="349">
        <f>IF($D$54=4,$F74*2/4,$F74/4/2)</f>
        <v>93.75</v>
      </c>
      <c r="AZ74" s="348">
        <f>IF($D$54=4,$D74*2*3,$D74*3/2)</f>
        <v>675</v>
      </c>
      <c r="BA74" s="349">
        <f>IF($D$54=4,$F74*2*3,$F74*3/2)</f>
        <v>1125</v>
      </c>
      <c r="BB74" s="348">
        <f>IF($D$54=4,$D74*2,$D74/2)</f>
        <v>225</v>
      </c>
      <c r="BC74" s="349">
        <f>IF($D$54=4,$F74*2,$F74/2)</f>
        <v>375</v>
      </c>
      <c r="BD74" s="348">
        <f t="shared" si="30"/>
        <v>450</v>
      </c>
      <c r="BE74" s="349">
        <f t="shared" si="31"/>
        <v>750</v>
      </c>
      <c r="BF74" s="348">
        <f>IF($D$54=3,$D74*2*3,$D74*3)</f>
        <v>1350</v>
      </c>
      <c r="BG74" s="349">
        <f>IF($D$54=3,$F74*2*3,$F74*3)</f>
        <v>2250</v>
      </c>
      <c r="BH74" s="348">
        <f>$D74/4</f>
        <v>112.5</v>
      </c>
      <c r="BI74" s="349">
        <f>$F74/4</f>
        <v>187.5</v>
      </c>
      <c r="BJ74" s="348">
        <f>$D74*3</f>
        <v>1350</v>
      </c>
      <c r="BK74" s="349">
        <f>$F74*3</f>
        <v>2250</v>
      </c>
      <c r="BL74" s="348">
        <f t="shared" si="32"/>
        <v>450</v>
      </c>
      <c r="BM74" s="349">
        <f t="shared" si="33"/>
        <v>750</v>
      </c>
      <c r="BN74" s="348">
        <f>IF($D$54=3,$D74*2,$D74)</f>
        <v>450</v>
      </c>
      <c r="BO74" s="349">
        <f>IF($D$54=3,$F74*2,$F74)</f>
        <v>750</v>
      </c>
      <c r="BP74" s="348">
        <f t="shared" si="11"/>
        <v>450</v>
      </c>
      <c r="BQ74" s="349">
        <f t="shared" si="34"/>
        <v>750</v>
      </c>
      <c r="BR74" s="348">
        <f t="shared" si="35"/>
        <v>450</v>
      </c>
      <c r="BS74" s="349">
        <f t="shared" si="36"/>
        <v>750</v>
      </c>
      <c r="BT74" s="350">
        <f t="shared" si="50"/>
        <v>450</v>
      </c>
      <c r="BU74" s="349">
        <f t="shared" si="37"/>
        <v>750</v>
      </c>
      <c r="BV74" s="348">
        <f t="shared" si="38"/>
        <v>450</v>
      </c>
      <c r="BW74" s="349">
        <f t="shared" si="39"/>
        <v>750</v>
      </c>
      <c r="BX74" s="348">
        <f>IF($D$54=2,$D74*2/4,$D74/4)</f>
        <v>112.5</v>
      </c>
      <c r="BY74" s="349">
        <f>IF($D$54=2,$F74*2/4,$F74/4)</f>
        <v>187.5</v>
      </c>
      <c r="BZ74" s="350">
        <f>$D74/4</f>
        <v>112.5</v>
      </c>
      <c r="CA74" s="349">
        <f>$F74/4</f>
        <v>187.5</v>
      </c>
      <c r="CB74" s="348">
        <f>$D74</f>
        <v>450</v>
      </c>
      <c r="CC74" s="349">
        <f>$F74</f>
        <v>750</v>
      </c>
      <c r="CD74" s="348">
        <f>IF($D$54=3,$D74*2*3,$D74*3)</f>
        <v>1350</v>
      </c>
      <c r="CE74" s="349">
        <f>IF($D$54=3,$F74*2*3,$F74*3)</f>
        <v>2250</v>
      </c>
      <c r="CF74" s="348">
        <f t="shared" si="51"/>
        <v>450</v>
      </c>
      <c r="CG74" s="349">
        <f t="shared" si="40"/>
        <v>750</v>
      </c>
      <c r="CH74" s="350">
        <f>$D74/4</f>
        <v>112.5</v>
      </c>
      <c r="CI74" s="349">
        <f>$F74/4</f>
        <v>187.5</v>
      </c>
      <c r="CJ74" s="348">
        <f>IF($D$54=1,$D74*2,$D74)</f>
        <v>450</v>
      </c>
      <c r="CK74" s="349">
        <f>IF($D$54=1,$F74*2,$F74)</f>
        <v>750</v>
      </c>
      <c r="CL74" s="348">
        <f>IF($D$54=2,$D74*2*3,$D74*3)</f>
        <v>1350</v>
      </c>
      <c r="CM74" s="349">
        <f>IF($D$54=2,$F74*2*3,$F74*3)</f>
        <v>2250</v>
      </c>
      <c r="CN74" s="350">
        <f t="shared" si="12"/>
        <v>450</v>
      </c>
      <c r="CO74" s="349">
        <f t="shared" si="41"/>
        <v>750</v>
      </c>
      <c r="CP74" s="348">
        <f t="shared" si="12"/>
        <v>450</v>
      </c>
      <c r="CQ74" s="349">
        <f t="shared" si="42"/>
        <v>750</v>
      </c>
      <c r="CR74" s="348">
        <f t="shared" si="12"/>
        <v>450</v>
      </c>
      <c r="CS74" s="349">
        <f t="shared" si="43"/>
        <v>750</v>
      </c>
    </row>
    <row r="75" spans="1:97">
      <c r="A75" s="107" t="s">
        <v>332</v>
      </c>
      <c r="B75" s="238">
        <v>200</v>
      </c>
      <c r="C75" s="238">
        <v>220</v>
      </c>
      <c r="D75" s="344">
        <f t="shared" si="56"/>
        <v>600</v>
      </c>
      <c r="E75" s="345">
        <f t="shared" si="13"/>
        <v>630</v>
      </c>
      <c r="F75" s="347">
        <f t="shared" si="57"/>
        <v>660</v>
      </c>
      <c r="G75" s="70"/>
      <c r="H75" s="350">
        <f t="shared" si="3"/>
        <v>600</v>
      </c>
      <c r="I75" s="349">
        <f t="shared" si="14"/>
        <v>660</v>
      </c>
      <c r="J75" s="348">
        <f t="shared" si="4"/>
        <v>600</v>
      </c>
      <c r="K75" s="349">
        <f t="shared" si="14"/>
        <v>660</v>
      </c>
      <c r="L75" s="348">
        <f t="shared" si="5"/>
        <v>600</v>
      </c>
      <c r="M75" s="349">
        <f t="shared" si="15"/>
        <v>660</v>
      </c>
      <c r="N75" s="348">
        <f t="shared" si="6"/>
        <v>600</v>
      </c>
      <c r="O75" s="349">
        <f t="shared" si="16"/>
        <v>660</v>
      </c>
      <c r="P75" s="348">
        <f t="shared" si="7"/>
        <v>600</v>
      </c>
      <c r="Q75" s="349">
        <f t="shared" si="17"/>
        <v>660</v>
      </c>
      <c r="R75" s="348">
        <f t="shared" si="8"/>
        <v>600</v>
      </c>
      <c r="S75" s="349">
        <f t="shared" si="18"/>
        <v>660</v>
      </c>
      <c r="T75" s="348">
        <f t="shared" si="9"/>
        <v>600</v>
      </c>
      <c r="U75" s="349">
        <f t="shared" si="19"/>
        <v>660</v>
      </c>
      <c r="V75" s="348">
        <f t="shared" si="20"/>
        <v>600</v>
      </c>
      <c r="W75" s="349">
        <f t="shared" si="21"/>
        <v>660</v>
      </c>
      <c r="X75" s="348">
        <f t="shared" si="46"/>
        <v>600</v>
      </c>
      <c r="Y75" s="349">
        <f t="shared" si="22"/>
        <v>660</v>
      </c>
      <c r="Z75" s="348">
        <f t="shared" si="23"/>
        <v>300</v>
      </c>
      <c r="AA75" s="349">
        <f t="shared" si="10"/>
        <v>330</v>
      </c>
      <c r="AB75" s="348">
        <f>$D75/2</f>
        <v>300</v>
      </c>
      <c r="AC75" s="349">
        <f>$F75/2</f>
        <v>330</v>
      </c>
      <c r="AD75" s="348">
        <f>$D75/4</f>
        <v>150</v>
      </c>
      <c r="AE75" s="349">
        <f>$F75/4</f>
        <v>165</v>
      </c>
      <c r="AF75" s="348">
        <f t="shared" si="47"/>
        <v>600</v>
      </c>
      <c r="AG75" s="349">
        <f t="shared" si="24"/>
        <v>660</v>
      </c>
      <c r="AH75" s="348">
        <f>IF($D$54=1,$D75*2*3,$D75*3)</f>
        <v>1800</v>
      </c>
      <c r="AI75" s="349">
        <f>IF($D$54=1,$F75*2*3,$F75*3)</f>
        <v>1980</v>
      </c>
      <c r="AJ75" s="348">
        <f t="shared" si="25"/>
        <v>600</v>
      </c>
      <c r="AK75" s="349">
        <f t="shared" si="26"/>
        <v>660</v>
      </c>
      <c r="AL75" s="348">
        <f t="shared" si="48"/>
        <v>600</v>
      </c>
      <c r="AM75" s="349">
        <f t="shared" si="27"/>
        <v>660</v>
      </c>
      <c r="AN75" s="348">
        <f>$D75/4</f>
        <v>150</v>
      </c>
      <c r="AO75" s="349">
        <f>$F75/4</f>
        <v>165</v>
      </c>
      <c r="AP75" s="348">
        <f>IF($D$54=3,$D75*2/4,$D75/4)</f>
        <v>150</v>
      </c>
      <c r="AQ75" s="349">
        <f>IF($D$54=3,$F75*2/4,$F75/4)</f>
        <v>165</v>
      </c>
      <c r="AR75" s="348">
        <f>IF($D$54=3,$D75*2,$D75)</f>
        <v>600</v>
      </c>
      <c r="AS75" s="349">
        <f>IF($D$54=3,$F75*2,$F75)</f>
        <v>660</v>
      </c>
      <c r="AT75" s="348">
        <f t="shared" si="28"/>
        <v>600</v>
      </c>
      <c r="AU75" s="349">
        <f t="shared" si="29"/>
        <v>660</v>
      </c>
      <c r="AV75" s="348">
        <f>IF($D$54=4,$D75*2/4,$D75/4/2)</f>
        <v>75</v>
      </c>
      <c r="AW75" s="349">
        <f>IF($D$54=4,$F75*2/4,$F75/4/2)</f>
        <v>82.5</v>
      </c>
      <c r="AX75" s="348">
        <f>IF($D$54=4,$D75*2*3,$D75*3/2)</f>
        <v>900</v>
      </c>
      <c r="AY75" s="349">
        <f>IF($D$54=4,$F75*2*3,$F75*3/2)</f>
        <v>990</v>
      </c>
      <c r="AZ75" s="348">
        <f>IF($D$54=4,$D75*2,$D75/2)</f>
        <v>300</v>
      </c>
      <c r="BA75" s="349">
        <f>IF($D$54=4,$F75*2,$F75/2)</f>
        <v>330</v>
      </c>
      <c r="BB75" s="348">
        <f>IF($D$54=4,$D75*2/4,$D75/4/2)</f>
        <v>75</v>
      </c>
      <c r="BC75" s="349">
        <f>IF($D$54=4,$F75*2/4,$F75/4/2)</f>
        <v>82.5</v>
      </c>
      <c r="BD75" s="348">
        <f t="shared" si="30"/>
        <v>600</v>
      </c>
      <c r="BE75" s="349">
        <f t="shared" si="31"/>
        <v>660</v>
      </c>
      <c r="BF75" s="348">
        <f>IF($D$54=3,$D75*2,$D75)</f>
        <v>600</v>
      </c>
      <c r="BG75" s="349">
        <f>IF($D$54=3,$F75*2,$F75)</f>
        <v>660</v>
      </c>
      <c r="BH75" s="348">
        <f>$D75*3</f>
        <v>1800</v>
      </c>
      <c r="BI75" s="349">
        <f>$F75*3</f>
        <v>1980</v>
      </c>
      <c r="BJ75" s="348">
        <f>$D75</f>
        <v>600</v>
      </c>
      <c r="BK75" s="349">
        <f>$F75</f>
        <v>660</v>
      </c>
      <c r="BL75" s="348">
        <f t="shared" si="32"/>
        <v>600</v>
      </c>
      <c r="BM75" s="349">
        <f t="shared" si="33"/>
        <v>660</v>
      </c>
      <c r="BN75" s="348">
        <f>IF($D$54=3,$D75*2/4,$D75/4)</f>
        <v>150</v>
      </c>
      <c r="BO75" s="349">
        <f>IF($D$54=3,$F75*2/4,$F75/4)</f>
        <v>165</v>
      </c>
      <c r="BP75" s="348">
        <f t="shared" si="11"/>
        <v>600</v>
      </c>
      <c r="BQ75" s="349">
        <f t="shared" si="34"/>
        <v>660</v>
      </c>
      <c r="BR75" s="348">
        <f t="shared" si="35"/>
        <v>600</v>
      </c>
      <c r="BS75" s="349">
        <f t="shared" si="36"/>
        <v>660</v>
      </c>
      <c r="BT75" s="350">
        <f t="shared" si="50"/>
        <v>600</v>
      </c>
      <c r="BU75" s="349">
        <f t="shared" si="37"/>
        <v>660</v>
      </c>
      <c r="BV75" s="348">
        <f t="shared" si="38"/>
        <v>600</v>
      </c>
      <c r="BW75" s="349">
        <f t="shared" si="39"/>
        <v>660</v>
      </c>
      <c r="BX75" s="348">
        <f>IF($D$54=2,$D75*2*3/4,$D75*3/4)</f>
        <v>450</v>
      </c>
      <c r="BY75" s="349">
        <f>IF($D$54=2,$F75*2*3/4,$F75*3/4)</f>
        <v>495</v>
      </c>
      <c r="BZ75" s="350">
        <f>$D75/4</f>
        <v>150</v>
      </c>
      <c r="CA75" s="349">
        <f>$F75/4</f>
        <v>165</v>
      </c>
      <c r="CB75" s="348">
        <f>$D75/4</f>
        <v>150</v>
      </c>
      <c r="CC75" s="349">
        <f>$F75/4</f>
        <v>165</v>
      </c>
      <c r="CD75" s="348">
        <f>IF($D$54=3,$D75*2,$D75)</f>
        <v>600</v>
      </c>
      <c r="CE75" s="349">
        <f>IF($D$54=3,$F75*2,$F75)</f>
        <v>660</v>
      </c>
      <c r="CF75" s="348">
        <f t="shared" si="51"/>
        <v>600</v>
      </c>
      <c r="CG75" s="349">
        <f t="shared" si="40"/>
        <v>660</v>
      </c>
      <c r="CH75" s="350">
        <f>$D75/4</f>
        <v>150</v>
      </c>
      <c r="CI75" s="349">
        <f>$F75/4</f>
        <v>165</v>
      </c>
      <c r="CJ75" s="348">
        <f>IF($D$54=1,$D75*2/4,$D75/4)</f>
        <v>150</v>
      </c>
      <c r="CK75" s="349">
        <f>IF($D$54=1,$F75*2/4,$F75/4)</f>
        <v>165</v>
      </c>
      <c r="CL75" s="348">
        <f>IF($D$54=2,$D75*2,$D75)</f>
        <v>600</v>
      </c>
      <c r="CM75" s="349">
        <f>IF($D$54=2,$F75*2,$F75)</f>
        <v>660</v>
      </c>
      <c r="CN75" s="350">
        <f t="shared" si="12"/>
        <v>600</v>
      </c>
      <c r="CO75" s="349">
        <f t="shared" si="41"/>
        <v>660</v>
      </c>
      <c r="CP75" s="348">
        <f t="shared" si="12"/>
        <v>600</v>
      </c>
      <c r="CQ75" s="349">
        <f t="shared" si="42"/>
        <v>660</v>
      </c>
      <c r="CR75" s="348">
        <f t="shared" si="12"/>
        <v>600</v>
      </c>
      <c r="CS75" s="349">
        <f t="shared" si="43"/>
        <v>660</v>
      </c>
    </row>
    <row r="76" spans="1:97">
      <c r="A76" s="25" t="s">
        <v>200</v>
      </c>
      <c r="B76" s="238">
        <v>150</v>
      </c>
      <c r="C76" s="238">
        <v>165</v>
      </c>
      <c r="D76" s="344">
        <f t="shared" si="56"/>
        <v>450</v>
      </c>
      <c r="E76" s="345">
        <f t="shared" si="13"/>
        <v>472.5</v>
      </c>
      <c r="F76" s="347">
        <f t="shared" si="57"/>
        <v>495</v>
      </c>
      <c r="G76" s="70"/>
      <c r="H76" s="350">
        <f t="shared" si="3"/>
        <v>450</v>
      </c>
      <c r="I76" s="349">
        <f t="shared" si="14"/>
        <v>495</v>
      </c>
      <c r="J76" s="348">
        <f t="shared" si="4"/>
        <v>450</v>
      </c>
      <c r="K76" s="349">
        <f t="shared" si="14"/>
        <v>495</v>
      </c>
      <c r="L76" s="348">
        <f t="shared" si="5"/>
        <v>450</v>
      </c>
      <c r="M76" s="349">
        <f t="shared" si="15"/>
        <v>495</v>
      </c>
      <c r="N76" s="348">
        <f t="shared" si="6"/>
        <v>450</v>
      </c>
      <c r="O76" s="349">
        <f t="shared" si="16"/>
        <v>495</v>
      </c>
      <c r="P76" s="348">
        <f t="shared" si="7"/>
        <v>450</v>
      </c>
      <c r="Q76" s="349">
        <f t="shared" si="17"/>
        <v>495</v>
      </c>
      <c r="R76" s="348">
        <f t="shared" si="8"/>
        <v>450</v>
      </c>
      <c r="S76" s="349">
        <f t="shared" si="18"/>
        <v>495</v>
      </c>
      <c r="T76" s="348">
        <f t="shared" si="9"/>
        <v>450</v>
      </c>
      <c r="U76" s="349">
        <f t="shared" si="19"/>
        <v>495</v>
      </c>
      <c r="V76" s="348">
        <f t="shared" si="20"/>
        <v>450</v>
      </c>
      <c r="W76" s="349">
        <f t="shared" si="21"/>
        <v>495</v>
      </c>
      <c r="X76" s="348">
        <f t="shared" si="46"/>
        <v>450</v>
      </c>
      <c r="Y76" s="349">
        <f t="shared" si="22"/>
        <v>495</v>
      </c>
      <c r="Z76" s="348">
        <f t="shared" si="23"/>
        <v>225</v>
      </c>
      <c r="AA76" s="349">
        <f t="shared" si="10"/>
        <v>247.5</v>
      </c>
      <c r="AB76" s="348">
        <f>$D76/2</f>
        <v>225</v>
      </c>
      <c r="AC76" s="349">
        <f>$F76/2</f>
        <v>247.5</v>
      </c>
      <c r="AD76" s="348">
        <f>$D76</f>
        <v>450</v>
      </c>
      <c r="AE76" s="349">
        <f>$F76</f>
        <v>495</v>
      </c>
      <c r="AF76" s="348">
        <f t="shared" si="47"/>
        <v>450</v>
      </c>
      <c r="AG76" s="349">
        <f t="shared" si="24"/>
        <v>495</v>
      </c>
      <c r="AH76" s="348">
        <f t="shared" si="47"/>
        <v>450</v>
      </c>
      <c r="AI76" s="349">
        <f>IF($D$54=1,$F76*2,$F76)</f>
        <v>495</v>
      </c>
      <c r="AJ76" s="348">
        <f t="shared" si="25"/>
        <v>450</v>
      </c>
      <c r="AK76" s="349">
        <f t="shared" si="26"/>
        <v>495</v>
      </c>
      <c r="AL76" s="348">
        <f t="shared" si="48"/>
        <v>450</v>
      </c>
      <c r="AM76" s="349">
        <f t="shared" si="27"/>
        <v>495</v>
      </c>
      <c r="AN76" s="348">
        <f>$D76</f>
        <v>450</v>
      </c>
      <c r="AO76" s="349">
        <f>$F76</f>
        <v>495</v>
      </c>
      <c r="AP76" s="348">
        <f>IF($D$54=3,$D76*2,$D76)</f>
        <v>450</v>
      </c>
      <c r="AQ76" s="349">
        <f>IF($D$54=3,$F76*2,$F76)</f>
        <v>495</v>
      </c>
      <c r="AR76" s="348">
        <f>IF($D$54=3,$D76*2,$D76)</f>
        <v>450</v>
      </c>
      <c r="AS76" s="349">
        <f>IF($D$54=3,$F76*2,$F76)</f>
        <v>495</v>
      </c>
      <c r="AT76" s="348">
        <f t="shared" si="28"/>
        <v>450</v>
      </c>
      <c r="AU76" s="349">
        <f t="shared" si="29"/>
        <v>495</v>
      </c>
      <c r="AV76" s="348">
        <f>IF($D$54=4,$D76*2,$D76/2)</f>
        <v>225</v>
      </c>
      <c r="AW76" s="349">
        <f>IF($D$54=4,$F76*2,$F76/2)</f>
        <v>247.5</v>
      </c>
      <c r="AX76" s="348">
        <f t="shared" ref="AX76:BB77" si="58">IF($D$54=4,$D76*2,$D76/2)</f>
        <v>225</v>
      </c>
      <c r="AY76" s="349">
        <f>IF($D$54=4,$F76*2,$F76/2)</f>
        <v>247.5</v>
      </c>
      <c r="AZ76" s="348">
        <f t="shared" si="58"/>
        <v>225</v>
      </c>
      <c r="BA76" s="349">
        <f>IF($D$54=4,$F76*2,$F76/2)</f>
        <v>247.5</v>
      </c>
      <c r="BB76" s="348">
        <f t="shared" si="58"/>
        <v>225</v>
      </c>
      <c r="BC76" s="349">
        <f>IF($D$54=4,$F76*2,$F76/2)</f>
        <v>247.5</v>
      </c>
      <c r="BD76" s="348">
        <f t="shared" si="30"/>
        <v>450</v>
      </c>
      <c r="BE76" s="349">
        <f t="shared" si="31"/>
        <v>495</v>
      </c>
      <c r="BF76" s="348">
        <f>IF($D$54=3,$D76*2,$D76)</f>
        <v>450</v>
      </c>
      <c r="BG76" s="349">
        <f>IF($D$54=3,$F76*2,$F76)</f>
        <v>495</v>
      </c>
      <c r="BH76" s="348">
        <f>$D76</f>
        <v>450</v>
      </c>
      <c r="BI76" s="349">
        <f>$F76</f>
        <v>495</v>
      </c>
      <c r="BJ76" s="348">
        <f>$D76</f>
        <v>450</v>
      </c>
      <c r="BK76" s="349">
        <f>$F76</f>
        <v>495</v>
      </c>
      <c r="BL76" s="348">
        <f t="shared" si="32"/>
        <v>450</v>
      </c>
      <c r="BM76" s="349">
        <f t="shared" si="33"/>
        <v>495</v>
      </c>
      <c r="BN76" s="348">
        <f>IF($D$54=3,$D76*2,$D76)</f>
        <v>450</v>
      </c>
      <c r="BO76" s="349">
        <f>IF($D$54=3,$F76*2,$F76)</f>
        <v>495</v>
      </c>
      <c r="BP76" s="348">
        <f t="shared" si="11"/>
        <v>450</v>
      </c>
      <c r="BQ76" s="349">
        <f t="shared" si="34"/>
        <v>495</v>
      </c>
      <c r="BR76" s="348">
        <f t="shared" si="35"/>
        <v>450</v>
      </c>
      <c r="BS76" s="349">
        <f t="shared" si="36"/>
        <v>495</v>
      </c>
      <c r="BT76" s="350">
        <f t="shared" si="50"/>
        <v>450</v>
      </c>
      <c r="BU76" s="349">
        <f t="shared" si="37"/>
        <v>495</v>
      </c>
      <c r="BV76" s="348">
        <f t="shared" si="38"/>
        <v>450</v>
      </c>
      <c r="BW76" s="349">
        <f t="shared" si="39"/>
        <v>495</v>
      </c>
      <c r="BX76" s="348">
        <f>IF($D$54=2,$D76*2,$D76)</f>
        <v>450</v>
      </c>
      <c r="BY76" s="349">
        <f>IF($D$54=2,$F76*2,$F76)</f>
        <v>495</v>
      </c>
      <c r="BZ76" s="350">
        <f>$D76</f>
        <v>450</v>
      </c>
      <c r="CA76" s="349">
        <f>$F76</f>
        <v>495</v>
      </c>
      <c r="CB76" s="348">
        <f>$D76</f>
        <v>450</v>
      </c>
      <c r="CC76" s="349">
        <f>$F76</f>
        <v>495</v>
      </c>
      <c r="CD76" s="348">
        <f>IF($D$54=3,$D76*2,$D76)</f>
        <v>450</v>
      </c>
      <c r="CE76" s="349">
        <f>IF($D$54=3,$F76*2,$F76)</f>
        <v>495</v>
      </c>
      <c r="CF76" s="348">
        <f t="shared" si="51"/>
        <v>450</v>
      </c>
      <c r="CG76" s="349">
        <f t="shared" si="40"/>
        <v>495</v>
      </c>
      <c r="CH76" s="350">
        <f>$D76</f>
        <v>450</v>
      </c>
      <c r="CI76" s="349">
        <f>$F76</f>
        <v>495</v>
      </c>
      <c r="CJ76" s="348">
        <f>IF($D$54=1,$D76*2,$D76)</f>
        <v>450</v>
      </c>
      <c r="CK76" s="349">
        <f>IF($D$54=1,$F76*2,$F76)</f>
        <v>495</v>
      </c>
      <c r="CL76" s="348">
        <f>IF($D$54=2,$D76*2,$D76)</f>
        <v>450</v>
      </c>
      <c r="CM76" s="349">
        <f>IF($D$54=2,$F76*2,$F76)</f>
        <v>495</v>
      </c>
      <c r="CN76" s="350">
        <f t="shared" si="12"/>
        <v>450</v>
      </c>
      <c r="CO76" s="349">
        <f t="shared" si="41"/>
        <v>495</v>
      </c>
      <c r="CP76" s="348">
        <f t="shared" si="12"/>
        <v>450</v>
      </c>
      <c r="CQ76" s="349">
        <f t="shared" si="42"/>
        <v>495</v>
      </c>
      <c r="CR76" s="348">
        <f t="shared" si="12"/>
        <v>450</v>
      </c>
      <c r="CS76" s="349">
        <f t="shared" si="43"/>
        <v>495</v>
      </c>
    </row>
    <row r="77" spans="1:97">
      <c r="A77" s="27" t="s">
        <v>215</v>
      </c>
      <c r="B77" s="326">
        <v>100</v>
      </c>
      <c r="C77" s="326">
        <v>220</v>
      </c>
      <c r="D77" s="351">
        <f>ROUNDDOWN(B77*(1+$D$53*0.1),0)</f>
        <v>300</v>
      </c>
      <c r="E77" s="352">
        <f t="shared" si="13"/>
        <v>480</v>
      </c>
      <c r="F77" s="353">
        <f>C77*(1+$D$53*0.1)</f>
        <v>660</v>
      </c>
      <c r="G77" s="73"/>
      <c r="H77" s="354">
        <f t="shared" si="3"/>
        <v>300</v>
      </c>
      <c r="I77" s="355">
        <f t="shared" si="14"/>
        <v>660</v>
      </c>
      <c r="J77" s="356">
        <f t="shared" si="4"/>
        <v>300</v>
      </c>
      <c r="K77" s="355">
        <f t="shared" si="14"/>
        <v>660</v>
      </c>
      <c r="L77" s="356">
        <f t="shared" si="5"/>
        <v>300</v>
      </c>
      <c r="M77" s="355">
        <f t="shared" si="15"/>
        <v>660</v>
      </c>
      <c r="N77" s="356">
        <f t="shared" si="6"/>
        <v>300</v>
      </c>
      <c r="O77" s="355">
        <f t="shared" si="16"/>
        <v>660</v>
      </c>
      <c r="P77" s="356">
        <f t="shared" si="7"/>
        <v>300</v>
      </c>
      <c r="Q77" s="355">
        <f t="shared" si="17"/>
        <v>660</v>
      </c>
      <c r="R77" s="356">
        <f t="shared" si="8"/>
        <v>300</v>
      </c>
      <c r="S77" s="355">
        <f t="shared" si="18"/>
        <v>660</v>
      </c>
      <c r="T77" s="356">
        <f t="shared" si="9"/>
        <v>300</v>
      </c>
      <c r="U77" s="355">
        <f t="shared" si="19"/>
        <v>660</v>
      </c>
      <c r="V77" s="356">
        <f t="shared" si="20"/>
        <v>300</v>
      </c>
      <c r="W77" s="355">
        <f t="shared" si="21"/>
        <v>660</v>
      </c>
      <c r="X77" s="356">
        <f t="shared" si="46"/>
        <v>300</v>
      </c>
      <c r="Y77" s="355">
        <f t="shared" si="22"/>
        <v>660</v>
      </c>
      <c r="Z77" s="356">
        <f t="shared" si="23"/>
        <v>150</v>
      </c>
      <c r="AA77" s="355">
        <f t="shared" si="10"/>
        <v>330</v>
      </c>
      <c r="AB77" s="356">
        <f>$D77/2</f>
        <v>150</v>
      </c>
      <c r="AC77" s="355">
        <f>$F77/2</f>
        <v>330</v>
      </c>
      <c r="AD77" s="356">
        <f>$D77</f>
        <v>300</v>
      </c>
      <c r="AE77" s="355">
        <f>$F77</f>
        <v>660</v>
      </c>
      <c r="AF77" s="356">
        <f t="shared" si="47"/>
        <v>300</v>
      </c>
      <c r="AG77" s="355">
        <f t="shared" si="24"/>
        <v>660</v>
      </c>
      <c r="AH77" s="356">
        <f t="shared" si="47"/>
        <v>300</v>
      </c>
      <c r="AI77" s="355">
        <f>IF($D$54=1,$F77*2,$F77)</f>
        <v>660</v>
      </c>
      <c r="AJ77" s="356">
        <f t="shared" si="25"/>
        <v>300</v>
      </c>
      <c r="AK77" s="355">
        <f t="shared" si="26"/>
        <v>660</v>
      </c>
      <c r="AL77" s="356">
        <f t="shared" si="48"/>
        <v>300</v>
      </c>
      <c r="AM77" s="355">
        <f t="shared" si="27"/>
        <v>660</v>
      </c>
      <c r="AN77" s="356">
        <f>$D77</f>
        <v>300</v>
      </c>
      <c r="AO77" s="355">
        <f>$F77</f>
        <v>660</v>
      </c>
      <c r="AP77" s="356">
        <f>IF($D$54=3,$D77*2,$D77)</f>
        <v>300</v>
      </c>
      <c r="AQ77" s="355">
        <f>IF($D$54=3,$F77*2,$F77)</f>
        <v>660</v>
      </c>
      <c r="AR77" s="356">
        <f>IF($D$54=3,$D77*2,$D77)</f>
        <v>300</v>
      </c>
      <c r="AS77" s="355">
        <f>IF($D$54=3,$F77*2,$F77)</f>
        <v>660</v>
      </c>
      <c r="AT77" s="356">
        <f t="shared" si="28"/>
        <v>300</v>
      </c>
      <c r="AU77" s="355">
        <f t="shared" si="29"/>
        <v>660</v>
      </c>
      <c r="AV77" s="356">
        <f>IF($D$54=4,$D77*2,$D77/2)</f>
        <v>150</v>
      </c>
      <c r="AW77" s="355">
        <f>IF($D$54=4,$F77*2,$F77/2)</f>
        <v>330</v>
      </c>
      <c r="AX77" s="356">
        <f t="shared" si="58"/>
        <v>150</v>
      </c>
      <c r="AY77" s="355">
        <f>IF($D$54=4,$F77*2,$F77/2)</f>
        <v>330</v>
      </c>
      <c r="AZ77" s="356">
        <f t="shared" si="58"/>
        <v>150</v>
      </c>
      <c r="BA77" s="355">
        <f>IF($D$54=4,$F77*2,$F77/2)</f>
        <v>330</v>
      </c>
      <c r="BB77" s="356">
        <f t="shared" si="58"/>
        <v>150</v>
      </c>
      <c r="BC77" s="355">
        <f>IF($D$54=4,$F77*2,$F77/2)</f>
        <v>330</v>
      </c>
      <c r="BD77" s="356">
        <f t="shared" si="30"/>
        <v>300</v>
      </c>
      <c r="BE77" s="355">
        <f t="shared" si="31"/>
        <v>660</v>
      </c>
      <c r="BF77" s="356">
        <f>IF($D$54=3,$D77*2,$D77)</f>
        <v>300</v>
      </c>
      <c r="BG77" s="355">
        <f>IF($D$54=3,$F77*2,$F77)</f>
        <v>660</v>
      </c>
      <c r="BH77" s="356">
        <f>$D77</f>
        <v>300</v>
      </c>
      <c r="BI77" s="355">
        <f>$F77</f>
        <v>660</v>
      </c>
      <c r="BJ77" s="356">
        <f>$D77</f>
        <v>300</v>
      </c>
      <c r="BK77" s="355">
        <f>$F77</f>
        <v>660</v>
      </c>
      <c r="BL77" s="356">
        <f t="shared" si="32"/>
        <v>300</v>
      </c>
      <c r="BM77" s="355">
        <f t="shared" si="33"/>
        <v>660</v>
      </c>
      <c r="BN77" s="356">
        <f>IF($D$54=3,$D77*2,$D77)</f>
        <v>300</v>
      </c>
      <c r="BO77" s="355">
        <f>IF($D$54=3,$F77*2,$F77)</f>
        <v>660</v>
      </c>
      <c r="BP77" s="356">
        <f t="shared" si="11"/>
        <v>300</v>
      </c>
      <c r="BQ77" s="355">
        <f t="shared" si="34"/>
        <v>660</v>
      </c>
      <c r="BR77" s="356">
        <f t="shared" si="35"/>
        <v>300</v>
      </c>
      <c r="BS77" s="355">
        <f t="shared" si="36"/>
        <v>660</v>
      </c>
      <c r="BT77" s="354">
        <f t="shared" si="50"/>
        <v>300</v>
      </c>
      <c r="BU77" s="355">
        <f t="shared" si="37"/>
        <v>660</v>
      </c>
      <c r="BV77" s="356">
        <f t="shared" si="38"/>
        <v>300</v>
      </c>
      <c r="BW77" s="355">
        <f t="shared" si="39"/>
        <v>660</v>
      </c>
      <c r="BX77" s="356">
        <f>IF($D$54=2,$D77*2,$D77)</f>
        <v>300</v>
      </c>
      <c r="BY77" s="355">
        <f>IF($D$54=2,$F77*2,$F77)</f>
        <v>660</v>
      </c>
      <c r="BZ77" s="354">
        <f>$D77</f>
        <v>300</v>
      </c>
      <c r="CA77" s="355">
        <f>$F77</f>
        <v>660</v>
      </c>
      <c r="CB77" s="356">
        <f>$D77</f>
        <v>300</v>
      </c>
      <c r="CC77" s="355">
        <f>$F77</f>
        <v>660</v>
      </c>
      <c r="CD77" s="356">
        <f>IF($D$54=3,$D77*2,$D77)</f>
        <v>300</v>
      </c>
      <c r="CE77" s="355">
        <f>IF($D$54=3,$F77*2,$F77)</f>
        <v>660</v>
      </c>
      <c r="CF77" s="356">
        <f t="shared" si="51"/>
        <v>300</v>
      </c>
      <c r="CG77" s="355">
        <f t="shared" si="40"/>
        <v>660</v>
      </c>
      <c r="CH77" s="354">
        <f>$D77</f>
        <v>300</v>
      </c>
      <c r="CI77" s="355">
        <f>$F77</f>
        <v>660</v>
      </c>
      <c r="CJ77" s="356">
        <f>IF($D$54=1,$D77*2,$D77)</f>
        <v>300</v>
      </c>
      <c r="CK77" s="355">
        <f>IF($D$54=1,$F77*2,$F77)</f>
        <v>660</v>
      </c>
      <c r="CL77" s="356">
        <f>IF($D$54=2,$D77*2,$D77)</f>
        <v>300</v>
      </c>
      <c r="CM77" s="355">
        <f>IF($D$54=2,$F77*2,$F77)</f>
        <v>660</v>
      </c>
      <c r="CN77" s="354">
        <f t="shared" si="12"/>
        <v>300</v>
      </c>
      <c r="CO77" s="355">
        <f t="shared" si="41"/>
        <v>660</v>
      </c>
      <c r="CP77" s="356">
        <f t="shared" si="12"/>
        <v>300</v>
      </c>
      <c r="CQ77" s="355">
        <f t="shared" si="42"/>
        <v>660</v>
      </c>
      <c r="CR77" s="356">
        <f t="shared" si="12"/>
        <v>300</v>
      </c>
      <c r="CS77" s="355">
        <f t="shared" si="43"/>
        <v>660</v>
      </c>
    </row>
    <row r="79" spans="1:97">
      <c r="G79" t="s">
        <v>31</v>
      </c>
      <c r="H79" s="584">
        <v>15</v>
      </c>
      <c r="I79" s="584"/>
      <c r="J79" s="584">
        <v>15</v>
      </c>
      <c r="K79" s="584"/>
      <c r="L79" s="584">
        <v>20</v>
      </c>
      <c r="M79" s="584"/>
      <c r="N79" s="584">
        <v>40</v>
      </c>
      <c r="O79" s="584"/>
      <c r="P79" s="584">
        <v>80</v>
      </c>
      <c r="Q79" s="584"/>
      <c r="R79" s="584">
        <v>105</v>
      </c>
      <c r="S79" s="584"/>
      <c r="T79" s="584">
        <v>20</v>
      </c>
      <c r="U79" s="584"/>
      <c r="V79" s="584">
        <v>210</v>
      </c>
      <c r="W79" s="584"/>
      <c r="X79" s="584">
        <v>70</v>
      </c>
      <c r="Y79" s="584"/>
      <c r="Z79" s="584">
        <v>300</v>
      </c>
      <c r="AA79" s="584"/>
      <c r="AB79" s="584">
        <v>2000</v>
      </c>
      <c r="AC79" s="584"/>
      <c r="AD79" s="584">
        <v>325</v>
      </c>
      <c r="AE79" s="584"/>
      <c r="AF79" s="584">
        <v>900</v>
      </c>
      <c r="AG79" s="584"/>
      <c r="AH79" s="584">
        <v>100</v>
      </c>
      <c r="AI79" s="584"/>
      <c r="AJ79" s="584">
        <v>600</v>
      </c>
      <c r="AK79" s="584"/>
      <c r="AL79" s="584">
        <v>1200</v>
      </c>
      <c r="AM79" s="584"/>
      <c r="AN79" s="584">
        <v>1300</v>
      </c>
      <c r="AO79" s="584"/>
      <c r="AP79" s="584">
        <v>680</v>
      </c>
      <c r="AQ79" s="584"/>
      <c r="AR79" s="584">
        <v>800</v>
      </c>
      <c r="AS79" s="584"/>
      <c r="AT79" s="584">
        <v>980</v>
      </c>
      <c r="AU79" s="584"/>
      <c r="AV79" s="584">
        <v>400</v>
      </c>
      <c r="AW79" s="584"/>
      <c r="AX79" s="584">
        <v>400</v>
      </c>
      <c r="AY79" s="584"/>
      <c r="AZ79" s="584">
        <v>400</v>
      </c>
      <c r="BA79" s="584"/>
      <c r="BB79" s="584">
        <v>400</v>
      </c>
      <c r="BC79" s="584"/>
      <c r="BD79" s="584">
        <v>1500</v>
      </c>
      <c r="BE79" s="584"/>
      <c r="BF79" s="584">
        <v>1000</v>
      </c>
      <c r="BG79" s="584"/>
      <c r="BH79" s="584">
        <v>3500</v>
      </c>
      <c r="BI79" s="584"/>
      <c r="BJ79" s="584">
        <v>3000</v>
      </c>
      <c r="BK79" s="584"/>
      <c r="BL79" s="584">
        <v>1700</v>
      </c>
      <c r="BM79" s="584"/>
      <c r="BN79" s="584">
        <v>1500</v>
      </c>
      <c r="BO79" s="584"/>
      <c r="BP79" s="584">
        <v>900</v>
      </c>
      <c r="BQ79" s="584"/>
      <c r="BR79" s="584">
        <v>5200</v>
      </c>
      <c r="BS79" s="584"/>
      <c r="BT79" s="584">
        <v>3000</v>
      </c>
      <c r="BU79" s="584"/>
      <c r="BV79" s="584">
        <v>4500</v>
      </c>
      <c r="BW79" s="584"/>
      <c r="BX79" s="584">
        <v>5600</v>
      </c>
      <c r="BY79" s="584"/>
      <c r="BZ79" s="584">
        <v>1500</v>
      </c>
      <c r="CA79" s="584"/>
      <c r="CB79" s="584">
        <v>7200</v>
      </c>
      <c r="CC79" s="584"/>
      <c r="CD79" s="584">
        <v>10000</v>
      </c>
      <c r="CE79" s="584"/>
      <c r="CF79" s="584">
        <v>800</v>
      </c>
      <c r="CG79" s="584"/>
      <c r="CH79" s="584">
        <v>1040</v>
      </c>
      <c r="CI79" s="584"/>
      <c r="CJ79" s="584">
        <v>790</v>
      </c>
      <c r="CK79" s="584"/>
      <c r="CL79" s="584">
        <v>950</v>
      </c>
      <c r="CM79" s="584"/>
      <c r="CN79" s="584">
        <v>14000</v>
      </c>
      <c r="CO79" s="584"/>
      <c r="CP79" s="584">
        <v>80</v>
      </c>
      <c r="CQ79" s="584"/>
      <c r="CR79" s="584">
        <v>100000</v>
      </c>
      <c r="CS79" s="584"/>
    </row>
    <row r="80" spans="1:97">
      <c r="G80" t="s">
        <v>32</v>
      </c>
      <c r="H80" s="584">
        <v>15</v>
      </c>
      <c r="I80" s="584"/>
      <c r="J80" s="584">
        <v>15</v>
      </c>
      <c r="K80" s="584"/>
      <c r="L80" s="584">
        <v>50</v>
      </c>
      <c r="M80" s="584"/>
      <c r="N80" s="584">
        <v>10</v>
      </c>
      <c r="O80" s="584"/>
      <c r="P80" s="584">
        <v>120</v>
      </c>
      <c r="Q80" s="584"/>
      <c r="R80" s="584">
        <v>130</v>
      </c>
      <c r="S80" s="584"/>
      <c r="T80" s="584">
        <v>50</v>
      </c>
      <c r="U80" s="584"/>
      <c r="V80" s="584">
        <v>150</v>
      </c>
      <c r="W80" s="584"/>
      <c r="X80" s="584">
        <v>110</v>
      </c>
      <c r="Y80" s="584"/>
      <c r="Z80" s="584">
        <v>450</v>
      </c>
      <c r="AA80" s="584"/>
      <c r="AB80" s="584">
        <v>5000</v>
      </c>
      <c r="AC80" s="584"/>
      <c r="AD80" s="584">
        <v>685</v>
      </c>
      <c r="AE80" s="584"/>
      <c r="AF80" s="584">
        <v>1400</v>
      </c>
      <c r="AG80" s="584"/>
      <c r="AH80" s="584">
        <v>120</v>
      </c>
      <c r="AI80" s="584"/>
      <c r="AJ80" s="584">
        <v>955</v>
      </c>
      <c r="AK80" s="584"/>
      <c r="AL80" s="584">
        <v>1050</v>
      </c>
      <c r="AM80" s="584"/>
      <c r="AN80" s="584">
        <v>1800</v>
      </c>
      <c r="AO80" s="584"/>
      <c r="AP80" s="584">
        <v>1305</v>
      </c>
      <c r="AQ80" s="584"/>
      <c r="AR80" s="584">
        <v>1050</v>
      </c>
      <c r="AS80" s="584"/>
      <c r="AT80" s="584">
        <v>950</v>
      </c>
      <c r="AU80" s="584"/>
      <c r="AV80" s="584">
        <v>600</v>
      </c>
      <c r="AW80" s="584"/>
      <c r="AX80" s="584">
        <v>600</v>
      </c>
      <c r="AY80" s="584"/>
      <c r="AZ80" s="584">
        <v>600</v>
      </c>
      <c r="BA80" s="584"/>
      <c r="BB80" s="584">
        <v>600</v>
      </c>
      <c r="BC80" s="584"/>
      <c r="BD80" s="584">
        <v>750</v>
      </c>
      <c r="BE80" s="584"/>
      <c r="BF80" s="584">
        <v>780</v>
      </c>
      <c r="BG80" s="584"/>
      <c r="BH80" s="584">
        <v>5000</v>
      </c>
      <c r="BI80" s="584"/>
      <c r="BJ80" s="584">
        <v>3200</v>
      </c>
      <c r="BK80" s="584"/>
      <c r="BL80" s="584">
        <v>3050</v>
      </c>
      <c r="BM80" s="584"/>
      <c r="BN80" s="584">
        <v>3200</v>
      </c>
      <c r="BO80" s="584"/>
      <c r="BP80" s="584">
        <v>2600</v>
      </c>
      <c r="BQ80" s="584"/>
      <c r="BR80" s="584">
        <v>4600</v>
      </c>
      <c r="BS80" s="584"/>
      <c r="BT80" s="584">
        <v>2800</v>
      </c>
      <c r="BU80" s="584"/>
      <c r="BV80" s="584">
        <v>6700</v>
      </c>
      <c r="BW80" s="584"/>
      <c r="BX80" s="584">
        <v>6400</v>
      </c>
      <c r="BY80" s="584"/>
      <c r="BZ80" s="584">
        <v>800</v>
      </c>
      <c r="CA80" s="584"/>
      <c r="CB80" s="584">
        <v>7100</v>
      </c>
      <c r="CC80" s="584"/>
      <c r="CD80" s="584">
        <v>17000</v>
      </c>
      <c r="CE80" s="584"/>
      <c r="CF80" s="584">
        <v>1000</v>
      </c>
      <c r="CG80" s="584"/>
      <c r="CH80" s="584">
        <v>970</v>
      </c>
      <c r="CI80" s="584"/>
      <c r="CJ80" s="584">
        <v>840</v>
      </c>
      <c r="CK80" s="584"/>
      <c r="CL80" s="584">
        <v>2000</v>
      </c>
      <c r="CM80" s="584"/>
      <c r="CN80" s="584">
        <v>10500</v>
      </c>
      <c r="CO80" s="584"/>
      <c r="CP80" s="584">
        <v>80</v>
      </c>
      <c r="CQ80" s="584"/>
      <c r="CR80" s="584">
        <v>100000</v>
      </c>
      <c r="CS80" s="584"/>
    </row>
    <row r="81" spans="1:97">
      <c r="G81" t="s">
        <v>362</v>
      </c>
      <c r="H81" s="584">
        <v>1</v>
      </c>
      <c r="I81" s="584"/>
      <c r="J81" s="584">
        <v>2</v>
      </c>
      <c r="K81" s="584"/>
      <c r="L81" s="584">
        <v>6</v>
      </c>
      <c r="M81" s="584"/>
      <c r="N81" s="584">
        <v>2</v>
      </c>
      <c r="O81" s="584"/>
      <c r="P81" s="584">
        <v>7</v>
      </c>
      <c r="Q81" s="584"/>
      <c r="R81" s="584">
        <v>9</v>
      </c>
      <c r="S81" s="584"/>
      <c r="T81" s="584">
        <v>10</v>
      </c>
      <c r="U81" s="584"/>
      <c r="V81" s="584">
        <v>12</v>
      </c>
      <c r="W81" s="584"/>
      <c r="X81" s="584">
        <v>12</v>
      </c>
      <c r="Y81" s="584"/>
      <c r="Z81" s="584">
        <v>20</v>
      </c>
      <c r="AA81" s="584"/>
      <c r="AB81" s="584">
        <v>80</v>
      </c>
      <c r="AC81" s="584"/>
      <c r="AD81" s="584">
        <v>20</v>
      </c>
      <c r="AE81" s="584"/>
      <c r="AF81" s="584">
        <v>60</v>
      </c>
      <c r="AG81" s="584"/>
      <c r="AH81" s="584">
        <v>12</v>
      </c>
      <c r="AI81" s="584"/>
      <c r="AJ81" s="584">
        <v>60</v>
      </c>
      <c r="AK81" s="584"/>
      <c r="AL81" s="584">
        <v>70</v>
      </c>
      <c r="AM81" s="584"/>
      <c r="AN81" s="584">
        <v>80</v>
      </c>
      <c r="AO81" s="584"/>
      <c r="AP81" s="584">
        <v>35</v>
      </c>
      <c r="AQ81" s="584"/>
      <c r="AR81" s="584">
        <v>40</v>
      </c>
      <c r="AS81" s="584"/>
      <c r="AT81" s="584">
        <v>50</v>
      </c>
      <c r="AU81" s="584"/>
      <c r="AV81" s="584">
        <v>30</v>
      </c>
      <c r="AW81" s="584"/>
      <c r="AX81" s="584">
        <v>30</v>
      </c>
      <c r="AY81" s="584"/>
      <c r="AZ81" s="584">
        <v>30</v>
      </c>
      <c r="BA81" s="584"/>
      <c r="BB81" s="584">
        <v>30</v>
      </c>
      <c r="BC81" s="584"/>
      <c r="BD81" s="584">
        <v>40</v>
      </c>
      <c r="BE81" s="584"/>
      <c r="BF81" s="584">
        <v>30</v>
      </c>
      <c r="BG81" s="584"/>
      <c r="BH81" s="584">
        <v>75</v>
      </c>
      <c r="BI81" s="584"/>
      <c r="BJ81" s="584">
        <v>75</v>
      </c>
      <c r="BK81" s="584"/>
      <c r="BL81" s="584">
        <v>60</v>
      </c>
      <c r="BM81" s="584"/>
      <c r="BN81" s="584">
        <v>50</v>
      </c>
      <c r="BO81" s="584"/>
      <c r="BP81" s="584">
        <v>60</v>
      </c>
      <c r="BQ81" s="584"/>
      <c r="BR81" s="584">
        <v>120</v>
      </c>
      <c r="BS81" s="584"/>
      <c r="BT81" s="584">
        <v>80</v>
      </c>
      <c r="BU81" s="584"/>
      <c r="BV81" s="584">
        <v>80</v>
      </c>
      <c r="BW81" s="584"/>
      <c r="BX81" s="584">
        <v>140</v>
      </c>
      <c r="BY81" s="584"/>
      <c r="BZ81" s="584">
        <v>20</v>
      </c>
      <c r="CA81" s="584"/>
      <c r="CB81" s="584">
        <v>130</v>
      </c>
      <c r="CC81" s="584"/>
      <c r="CD81" s="584">
        <v>200</v>
      </c>
      <c r="CE81" s="584"/>
      <c r="CF81" s="584">
        <v>30</v>
      </c>
      <c r="CG81" s="584"/>
      <c r="CH81" s="584">
        <v>30</v>
      </c>
      <c r="CI81" s="584"/>
      <c r="CJ81" s="584">
        <v>30</v>
      </c>
      <c r="CK81" s="584"/>
      <c r="CL81" s="584">
        <v>30</v>
      </c>
      <c r="CM81" s="584"/>
      <c r="CN81" s="584">
        <v>200</v>
      </c>
      <c r="CO81" s="584"/>
      <c r="CP81" s="584">
        <v>4</v>
      </c>
      <c r="CQ81" s="584"/>
      <c r="CR81" s="584">
        <v>800</v>
      </c>
      <c r="CS81" s="584"/>
    </row>
    <row r="83" spans="1:97">
      <c r="B83" s="590" t="s">
        <v>757</v>
      </c>
      <c r="C83" s="590"/>
      <c r="D83" s="556" t="s">
        <v>760</v>
      </c>
      <c r="E83" s="556"/>
      <c r="F83" s="556"/>
      <c r="H83" s="94"/>
      <c r="I83" s="94"/>
    </row>
    <row r="84" spans="1:97">
      <c r="A84" s="27"/>
      <c r="B84" s="326" t="s">
        <v>758</v>
      </c>
      <c r="C84" s="326" t="s">
        <v>759</v>
      </c>
      <c r="D84" s="342" t="s">
        <v>758</v>
      </c>
      <c r="E84" s="343" t="s">
        <v>761</v>
      </c>
      <c r="F84" s="363" t="s">
        <v>759</v>
      </c>
      <c r="G84" s="27"/>
      <c r="H84" s="567" t="s">
        <v>33</v>
      </c>
      <c r="I84" s="568"/>
      <c r="J84" s="567" t="s">
        <v>37</v>
      </c>
      <c r="K84" s="568"/>
      <c r="L84" s="567" t="s">
        <v>35</v>
      </c>
      <c r="M84" s="568"/>
      <c r="N84" s="567" t="s">
        <v>36</v>
      </c>
      <c r="O84" s="568"/>
      <c r="P84" s="567" t="s">
        <v>393</v>
      </c>
      <c r="Q84" s="568"/>
      <c r="R84" s="567" t="s">
        <v>38</v>
      </c>
      <c r="S84" s="568"/>
      <c r="T84" s="567" t="s">
        <v>560</v>
      </c>
      <c r="U84" s="568"/>
      <c r="V84" s="567" t="s">
        <v>394</v>
      </c>
      <c r="W84" s="568"/>
      <c r="X84" s="567" t="s">
        <v>764</v>
      </c>
      <c r="Y84" s="568"/>
      <c r="Z84" s="567" t="s">
        <v>39</v>
      </c>
      <c r="AA84" s="568"/>
      <c r="AB84" s="567" t="s">
        <v>765</v>
      </c>
      <c r="AC84" s="568"/>
      <c r="AD84" s="567" t="s">
        <v>766</v>
      </c>
      <c r="AE84" s="568"/>
      <c r="AF84" s="567" t="s">
        <v>40</v>
      </c>
      <c r="AG84" s="568"/>
      <c r="AH84" s="567" t="s">
        <v>555</v>
      </c>
      <c r="AI84" s="568"/>
      <c r="AJ84" s="567" t="s">
        <v>41</v>
      </c>
      <c r="AK84" s="568"/>
      <c r="AL84" s="567" t="s">
        <v>42</v>
      </c>
      <c r="AM84" s="568"/>
      <c r="AN84" s="567" t="s">
        <v>578</v>
      </c>
      <c r="AO84" s="568"/>
      <c r="AP84" s="567" t="s">
        <v>43</v>
      </c>
      <c r="AQ84" s="568"/>
      <c r="AR84" s="567" t="s">
        <v>554</v>
      </c>
      <c r="AS84" s="568"/>
      <c r="AT84" s="567" t="s">
        <v>44</v>
      </c>
      <c r="AU84" s="568"/>
      <c r="AV84" s="567" t="s">
        <v>769</v>
      </c>
      <c r="AW84" s="568"/>
      <c r="AX84" s="567" t="s">
        <v>770</v>
      </c>
      <c r="AY84" s="568"/>
      <c r="AZ84" s="567" t="s">
        <v>771</v>
      </c>
      <c r="BA84" s="568"/>
      <c r="BB84" s="567" t="s">
        <v>772</v>
      </c>
      <c r="BC84" s="568"/>
      <c r="BD84" s="567" t="s">
        <v>45</v>
      </c>
      <c r="BE84" s="568"/>
      <c r="BF84" s="567" t="s">
        <v>767</v>
      </c>
      <c r="BG84" s="568"/>
      <c r="BH84" s="567" t="s">
        <v>46</v>
      </c>
      <c r="BI84" s="568"/>
      <c r="BJ84" s="567" t="s">
        <v>47</v>
      </c>
      <c r="BK84" s="568"/>
      <c r="BL84" s="567" t="s">
        <v>48</v>
      </c>
      <c r="BM84" s="568"/>
      <c r="BN84" s="567" t="s">
        <v>558</v>
      </c>
      <c r="BO84" s="568"/>
      <c r="BP84" s="567" t="s">
        <v>583</v>
      </c>
      <c r="BQ84" s="568"/>
      <c r="BR84" s="567" t="s">
        <v>51</v>
      </c>
      <c r="BS84" s="568"/>
      <c r="BT84" s="567" t="s">
        <v>556</v>
      </c>
      <c r="BU84" s="568"/>
      <c r="BV84" s="567" t="s">
        <v>49</v>
      </c>
      <c r="BW84" s="568"/>
      <c r="BX84" s="567" t="s">
        <v>553</v>
      </c>
      <c r="BY84" s="568"/>
      <c r="BZ84" s="567" t="s">
        <v>57</v>
      </c>
      <c r="CA84" s="568"/>
      <c r="CB84" s="567" t="s">
        <v>50</v>
      </c>
      <c r="CC84" s="568"/>
      <c r="CD84" s="567" t="s">
        <v>606</v>
      </c>
      <c r="CE84" s="568"/>
      <c r="CF84" s="567" t="s">
        <v>607</v>
      </c>
      <c r="CG84" s="568"/>
      <c r="CH84" s="567" t="s">
        <v>52</v>
      </c>
      <c r="CI84" s="568"/>
      <c r="CJ84" s="567" t="s">
        <v>53</v>
      </c>
      <c r="CK84" s="568"/>
      <c r="CL84" s="567" t="s">
        <v>54</v>
      </c>
      <c r="CM84" s="568"/>
      <c r="CN84" s="567" t="s">
        <v>55</v>
      </c>
      <c r="CO84" s="568"/>
      <c r="CP84" s="567" t="s">
        <v>616</v>
      </c>
      <c r="CQ84" s="568"/>
      <c r="CR84" s="567" t="s">
        <v>617</v>
      </c>
      <c r="CS84" s="568"/>
    </row>
    <row r="85" spans="1:97" s="25" customFormat="1">
      <c r="A85" s="105" t="s">
        <v>109</v>
      </c>
      <c r="B85" s="238">
        <v>5</v>
      </c>
      <c r="C85" s="238">
        <v>10</v>
      </c>
      <c r="D85" s="344">
        <f>ROUNDDOWN(B85*(1+$D$53*0.1),0)</f>
        <v>15</v>
      </c>
      <c r="E85" s="345">
        <f>AVERAGE(D85,F85)</f>
        <v>22.5</v>
      </c>
      <c r="F85" s="347">
        <f>C85*(1+$D$53*0.1)</f>
        <v>30</v>
      </c>
      <c r="H85" s="357">
        <f>H60/H$80</f>
        <v>1</v>
      </c>
      <c r="I85" s="358">
        <f>I60/H$80</f>
        <v>2</v>
      </c>
      <c r="J85" s="359">
        <f>J60/J$80</f>
        <v>1</v>
      </c>
      <c r="K85" s="358">
        <f>K60/J$80</f>
        <v>2</v>
      </c>
      <c r="L85" s="359">
        <f t="shared" ref="L85:L102" si="59">L60/L$80</f>
        <v>0.3</v>
      </c>
      <c r="M85" s="358">
        <f t="shared" ref="M85:M102" si="60">M60/L$80</f>
        <v>0.6</v>
      </c>
      <c r="N85" s="359">
        <f t="shared" ref="N85:CR85" si="61">N60/N$80</f>
        <v>1.5</v>
      </c>
      <c r="O85" s="358">
        <f t="shared" ref="O85:O102" si="62">O60/N$80</f>
        <v>3</v>
      </c>
      <c r="P85" s="359">
        <f t="shared" si="61"/>
        <v>0.125</v>
      </c>
      <c r="Q85" s="358">
        <f t="shared" ref="Q85:Q102" si="63">Q60/P$80</f>
        <v>0.25</v>
      </c>
      <c r="R85" s="359">
        <f t="shared" si="61"/>
        <v>0.11538461538461539</v>
      </c>
      <c r="S85" s="358">
        <f t="shared" ref="S85:S102" si="64">S60/R$80</f>
        <v>0.23076923076923078</v>
      </c>
      <c r="T85" s="359">
        <f t="shared" si="61"/>
        <v>0.3</v>
      </c>
      <c r="U85" s="358">
        <f t="shared" ref="U85:U102" si="65">U60/T$80</f>
        <v>0.6</v>
      </c>
      <c r="V85" s="359">
        <f t="shared" si="61"/>
        <v>0.1</v>
      </c>
      <c r="W85" s="358">
        <f t="shared" ref="W85:W102" si="66">W60/V$80</f>
        <v>0.2</v>
      </c>
      <c r="X85" s="359">
        <f t="shared" si="61"/>
        <v>0.13636363636363635</v>
      </c>
      <c r="Y85" s="358">
        <f t="shared" ref="Y85:Y102" si="67">Y60/X$80</f>
        <v>0.27272727272727271</v>
      </c>
      <c r="Z85" s="359">
        <f t="shared" si="61"/>
        <v>1.6666666666666666E-2</v>
      </c>
      <c r="AA85" s="358">
        <f t="shared" ref="AA85:AA102" si="68">AA60/Z$80</f>
        <v>3.3333333333333333E-2</v>
      </c>
      <c r="AB85" s="359">
        <f t="shared" si="61"/>
        <v>3.7500000000000001E-4</v>
      </c>
      <c r="AC85" s="358">
        <f t="shared" ref="AC85:AC102" si="69">AC60/AB$80</f>
        <v>7.5000000000000002E-4</v>
      </c>
      <c r="AD85" s="359">
        <f t="shared" si="61"/>
        <v>2.1897810218978103E-2</v>
      </c>
      <c r="AE85" s="358">
        <f t="shared" ref="AE85:AE102" si="70">AE60/AD$80</f>
        <v>4.3795620437956206E-2</v>
      </c>
      <c r="AF85" s="359">
        <f t="shared" si="61"/>
        <v>1.0714285714285714E-2</v>
      </c>
      <c r="AG85" s="358">
        <f t="shared" ref="AG85:AG102" si="71">AG60/AF$80</f>
        <v>2.1428571428571429E-2</v>
      </c>
      <c r="AH85" s="359">
        <f t="shared" si="61"/>
        <v>3.125E-2</v>
      </c>
      <c r="AI85" s="358">
        <f t="shared" ref="AI85:AI102" si="72">AI60/AH$80</f>
        <v>6.25E-2</v>
      </c>
      <c r="AJ85" s="359">
        <f t="shared" si="61"/>
        <v>1.5706806282722512E-2</v>
      </c>
      <c r="AK85" s="358">
        <f t="shared" ref="AK85:AK102" si="73">AK60/AJ$80</f>
        <v>3.1413612565445025E-2</v>
      </c>
      <c r="AL85" s="359">
        <f t="shared" si="61"/>
        <v>1.4285714285714285E-2</v>
      </c>
      <c r="AM85" s="358">
        <f t="shared" ref="AM85:AM102" si="74">AM60/AL$80</f>
        <v>2.8571428571428571E-2</v>
      </c>
      <c r="AN85" s="359">
        <f t="shared" si="61"/>
        <v>2.0833333333333333E-3</v>
      </c>
      <c r="AO85" s="358">
        <f t="shared" ref="AO85:AO102" si="75">AO60/AN$80</f>
        <v>4.1666666666666666E-3</v>
      </c>
      <c r="AP85" s="359">
        <f t="shared" si="61"/>
        <v>3.4482758620689655E-2</v>
      </c>
      <c r="AQ85" s="358">
        <f t="shared" ref="AQ85:AQ102" si="76">AQ60/AP$80</f>
        <v>6.8965517241379309E-2</v>
      </c>
      <c r="AR85" s="359">
        <f t="shared" si="61"/>
        <v>3.5714285714285713E-3</v>
      </c>
      <c r="AS85" s="358">
        <f t="shared" ref="AS85:AS102" si="77">AS60/AR$80</f>
        <v>7.1428571428571426E-3</v>
      </c>
      <c r="AT85" s="359">
        <f t="shared" si="61"/>
        <v>1.5789473684210527E-2</v>
      </c>
      <c r="AU85" s="358">
        <f t="shared" ref="AU85:AU102" si="78">AU60/AT$80</f>
        <v>3.1578947368421054E-2</v>
      </c>
      <c r="AV85" s="359">
        <f t="shared" si="61"/>
        <v>1.2500000000000001E-2</v>
      </c>
      <c r="AW85" s="358">
        <f t="shared" ref="AW85:AW102" si="79">AW60/AV$80</f>
        <v>2.5000000000000001E-2</v>
      </c>
      <c r="AX85" s="359">
        <f t="shared" si="61"/>
        <v>3.1250000000000002E-3</v>
      </c>
      <c r="AY85" s="358">
        <f t="shared" ref="AY85:AY102" si="80">AY60/AX$80</f>
        <v>6.2500000000000003E-3</v>
      </c>
      <c r="AZ85" s="359">
        <f t="shared" si="61"/>
        <v>3.1250000000000002E-3</v>
      </c>
      <c r="BA85" s="358">
        <f t="shared" ref="BA85:BA102" si="81">BA60/AZ$80</f>
        <v>6.2500000000000003E-3</v>
      </c>
      <c r="BB85" s="359">
        <f t="shared" si="61"/>
        <v>3.7499999999999999E-2</v>
      </c>
      <c r="BC85" s="358">
        <f t="shared" ref="BC85:BC102" si="82">BC60/BB$80</f>
        <v>7.4999999999999997E-2</v>
      </c>
      <c r="BD85" s="359">
        <f t="shared" si="61"/>
        <v>0.02</v>
      </c>
      <c r="BE85" s="358">
        <f t="shared" ref="BE85:BE102" si="83">BE60/BD$80</f>
        <v>0.04</v>
      </c>
      <c r="BF85" s="359">
        <f t="shared" si="61"/>
        <v>4.807692307692308E-3</v>
      </c>
      <c r="BG85" s="358">
        <f t="shared" ref="BG85:BG102" si="84">BG60/BF$80</f>
        <v>9.6153846153846159E-3</v>
      </c>
      <c r="BH85" s="359">
        <f t="shared" si="61"/>
        <v>7.5000000000000002E-4</v>
      </c>
      <c r="BI85" s="358">
        <f t="shared" ref="BI85:BI102" si="85">BI60/BH$80</f>
        <v>1.5E-3</v>
      </c>
      <c r="BJ85" s="359">
        <f t="shared" si="61"/>
        <v>1.171875E-3</v>
      </c>
      <c r="BK85" s="358">
        <f t="shared" ref="BK85:BK102" si="86">BK60/BJ$80</f>
        <v>2.3437499999999999E-3</v>
      </c>
      <c r="BL85" s="359">
        <f t="shared" si="61"/>
        <v>4.9180327868852463E-3</v>
      </c>
      <c r="BM85" s="358">
        <f t="shared" ref="BM85:BM102" si="87">BM60/BL$80</f>
        <v>9.8360655737704927E-3</v>
      </c>
      <c r="BN85" s="359">
        <f t="shared" si="61"/>
        <v>1.40625E-2</v>
      </c>
      <c r="BO85" s="358">
        <f t="shared" ref="BO85:BO102" si="88">BO60/BN$80</f>
        <v>2.8125000000000001E-2</v>
      </c>
      <c r="BP85" s="359">
        <f t="shared" si="61"/>
        <v>5.7692307692307696E-3</v>
      </c>
      <c r="BQ85" s="358">
        <f t="shared" ref="BQ85:BQ102" si="89">BQ60/BP$80</f>
        <v>1.1538461538461539E-2</v>
      </c>
      <c r="BR85" s="359">
        <f t="shared" si="61"/>
        <v>3.2608695652173911E-3</v>
      </c>
      <c r="BS85" s="358">
        <f t="shared" ref="BS85:BS102" si="90">BS60/BR$80</f>
        <v>6.5217391304347823E-3</v>
      </c>
      <c r="BT85" s="357">
        <f t="shared" si="61"/>
        <v>5.3571428571428572E-3</v>
      </c>
      <c r="BU85" s="358">
        <f t="shared" ref="BU85:BU102" si="91">BU60/BT$80</f>
        <v>1.0714285714285714E-2</v>
      </c>
      <c r="BV85" s="359">
        <f t="shared" si="61"/>
        <v>2.2388059701492539E-3</v>
      </c>
      <c r="BW85" s="358">
        <f t="shared" ref="BW85:BW102" si="92">BW60/BV$80</f>
        <v>4.4776119402985077E-3</v>
      </c>
      <c r="BX85" s="359">
        <f t="shared" si="61"/>
        <v>1.7578125E-3</v>
      </c>
      <c r="BY85" s="358">
        <f t="shared" ref="BY85:BY102" si="93">BY60/BX$80</f>
        <v>3.5156250000000001E-3</v>
      </c>
      <c r="BZ85" s="357">
        <f t="shared" si="61"/>
        <v>1.8749999999999999E-2</v>
      </c>
      <c r="CA85" s="358">
        <f t="shared" ref="CA85:CA102" si="94">CA60/BZ$80</f>
        <v>3.7499999999999999E-2</v>
      </c>
      <c r="CB85" s="359">
        <f t="shared" si="61"/>
        <v>6.3380281690140847E-3</v>
      </c>
      <c r="CC85" s="358">
        <f t="shared" ref="CC85:CC102" si="95">CC60/CB$80</f>
        <v>1.2676056338028169E-2</v>
      </c>
      <c r="CD85" s="359">
        <f t="shared" si="61"/>
        <v>2.2058823529411765E-4</v>
      </c>
      <c r="CE85" s="358">
        <f t="shared" ref="CE85:CE102" si="96">CE60/CD$80</f>
        <v>4.4117647058823531E-4</v>
      </c>
      <c r="CF85" s="359">
        <f t="shared" si="61"/>
        <v>1.4999999999999999E-2</v>
      </c>
      <c r="CG85" s="358">
        <f t="shared" ref="CG85:CG102" si="97">CG60/CF$80</f>
        <v>0.03</v>
      </c>
      <c r="CH85" s="357">
        <f t="shared" si="61"/>
        <v>1.5463917525773196E-2</v>
      </c>
      <c r="CI85" s="358">
        <f t="shared" ref="CI85:CI102" si="98">CI60/CH$80</f>
        <v>3.0927835051546393E-2</v>
      </c>
      <c r="CJ85" s="359">
        <f t="shared" si="61"/>
        <v>5.3571428571428568E-2</v>
      </c>
      <c r="CK85" s="358">
        <f t="shared" ref="CK85:CK102" si="99">CK60/CJ$80</f>
        <v>0.10714285714285714</v>
      </c>
      <c r="CL85" s="359">
        <f t="shared" si="61"/>
        <v>1.8749999999999999E-3</v>
      </c>
      <c r="CM85" s="358">
        <f t="shared" ref="CM85:CM102" si="100">CM60/CL$80</f>
        <v>3.7499999999999999E-3</v>
      </c>
      <c r="CN85" s="357">
        <f t="shared" si="61"/>
        <v>1.4285714285714286E-3</v>
      </c>
      <c r="CO85" s="358">
        <f t="shared" ref="CO85:CO102" si="101">CO60/CN$80</f>
        <v>2.8571428571428571E-3</v>
      </c>
      <c r="CP85" s="359">
        <f t="shared" si="61"/>
        <v>0.1875</v>
      </c>
      <c r="CQ85" s="358">
        <f t="shared" ref="CQ85:CQ102" si="102">CQ60/CP$80</f>
        <v>0.375</v>
      </c>
      <c r="CR85" s="359">
        <f t="shared" si="61"/>
        <v>1.4999999999999999E-4</v>
      </c>
      <c r="CS85" s="366">
        <f t="shared" ref="CS85:CS102" si="103">CS60/CR$80</f>
        <v>2.9999999999999997E-4</v>
      </c>
    </row>
    <row r="86" spans="1:97" s="25" customFormat="1">
      <c r="A86" s="339" t="s">
        <v>112</v>
      </c>
      <c r="B86" s="238">
        <v>25</v>
      </c>
      <c r="C86" s="238">
        <v>30</v>
      </c>
      <c r="D86" s="344">
        <f>ROUNDDOWN(B86*(1+$D$53*0.1),0)</f>
        <v>75</v>
      </c>
      <c r="E86" s="345">
        <f t="shared" ref="E86:E102" si="104">AVERAGE(D86,F86)</f>
        <v>82.5</v>
      </c>
      <c r="F86" s="347">
        <f>C86*(1+$D$53*0.1)</f>
        <v>90</v>
      </c>
      <c r="H86" s="357">
        <f t="shared" ref="H86:J102" si="105">H61/H$80</f>
        <v>5</v>
      </c>
      <c r="I86" s="358">
        <f t="shared" ref="I86:K102" si="106">I61/H$80</f>
        <v>6</v>
      </c>
      <c r="J86" s="359">
        <f t="shared" si="105"/>
        <v>5</v>
      </c>
      <c r="K86" s="358">
        <f t="shared" si="106"/>
        <v>6</v>
      </c>
      <c r="L86" s="359">
        <f t="shared" si="59"/>
        <v>1.5</v>
      </c>
      <c r="M86" s="358">
        <f t="shared" si="60"/>
        <v>1.8</v>
      </c>
      <c r="N86" s="359">
        <f t="shared" ref="N86:N102" si="107">N61/N$80</f>
        <v>7.5</v>
      </c>
      <c r="O86" s="358">
        <f t="shared" si="62"/>
        <v>9</v>
      </c>
      <c r="P86" s="359">
        <f t="shared" ref="P86:P102" si="108">P61/P$80</f>
        <v>0.625</v>
      </c>
      <c r="Q86" s="358">
        <f t="shared" si="63"/>
        <v>0.75</v>
      </c>
      <c r="R86" s="359">
        <f t="shared" ref="R86:CR86" si="109">R61/R$80</f>
        <v>0.57692307692307687</v>
      </c>
      <c r="S86" s="358">
        <f t="shared" si="64"/>
        <v>0.69230769230769229</v>
      </c>
      <c r="T86" s="359">
        <f t="shared" si="109"/>
        <v>1.5</v>
      </c>
      <c r="U86" s="358">
        <f t="shared" si="65"/>
        <v>1.8</v>
      </c>
      <c r="V86" s="359">
        <f t="shared" si="109"/>
        <v>0.5</v>
      </c>
      <c r="W86" s="358">
        <f t="shared" si="66"/>
        <v>0.6</v>
      </c>
      <c r="X86" s="359">
        <f t="shared" si="109"/>
        <v>0.68181818181818177</v>
      </c>
      <c r="Y86" s="358">
        <f t="shared" si="67"/>
        <v>0.81818181818181823</v>
      </c>
      <c r="Z86" s="359">
        <f t="shared" si="109"/>
        <v>8.3333333333333329E-2</v>
      </c>
      <c r="AA86" s="358">
        <f t="shared" si="68"/>
        <v>0.1</v>
      </c>
      <c r="AB86" s="359">
        <f t="shared" si="109"/>
        <v>1.8749999999999999E-3</v>
      </c>
      <c r="AC86" s="358">
        <f t="shared" si="69"/>
        <v>2.2499999999999998E-3</v>
      </c>
      <c r="AD86" s="359">
        <f t="shared" si="109"/>
        <v>0.32846715328467152</v>
      </c>
      <c r="AE86" s="358">
        <f t="shared" si="70"/>
        <v>0.39416058394160586</v>
      </c>
      <c r="AF86" s="359">
        <f t="shared" si="109"/>
        <v>5.3571428571428568E-2</v>
      </c>
      <c r="AG86" s="358">
        <f t="shared" si="71"/>
        <v>6.4285714285714279E-2</v>
      </c>
      <c r="AH86" s="359">
        <f t="shared" si="109"/>
        <v>0.625</v>
      </c>
      <c r="AI86" s="358">
        <f t="shared" si="72"/>
        <v>0.75</v>
      </c>
      <c r="AJ86" s="359">
        <f t="shared" si="109"/>
        <v>7.8534031413612565E-2</v>
      </c>
      <c r="AK86" s="358">
        <f t="shared" si="73"/>
        <v>9.4240837696335081E-2</v>
      </c>
      <c r="AL86" s="359">
        <f t="shared" si="109"/>
        <v>7.1428571428571425E-2</v>
      </c>
      <c r="AM86" s="358">
        <f t="shared" si="74"/>
        <v>8.5714285714285715E-2</v>
      </c>
      <c r="AN86" s="359">
        <f t="shared" si="109"/>
        <v>3.125E-2</v>
      </c>
      <c r="AO86" s="358">
        <f t="shared" si="75"/>
        <v>3.7499999999999999E-2</v>
      </c>
      <c r="AP86" s="359">
        <f t="shared" si="109"/>
        <v>1.4367816091954023E-2</v>
      </c>
      <c r="AQ86" s="358">
        <f t="shared" si="76"/>
        <v>1.7241379310344827E-2</v>
      </c>
      <c r="AR86" s="359">
        <f t="shared" si="109"/>
        <v>1.7857142857142856E-2</v>
      </c>
      <c r="AS86" s="358">
        <f t="shared" si="77"/>
        <v>2.1428571428571429E-2</v>
      </c>
      <c r="AT86" s="359">
        <f t="shared" si="109"/>
        <v>7.8947368421052627E-2</v>
      </c>
      <c r="AU86" s="358">
        <f t="shared" si="78"/>
        <v>9.4736842105263161E-2</v>
      </c>
      <c r="AV86" s="359">
        <f t="shared" si="109"/>
        <v>0.1875</v>
      </c>
      <c r="AW86" s="358">
        <f t="shared" si="79"/>
        <v>0.22500000000000001</v>
      </c>
      <c r="AX86" s="359">
        <f t="shared" si="109"/>
        <v>6.25E-2</v>
      </c>
      <c r="AY86" s="358">
        <f t="shared" si="80"/>
        <v>7.4999999999999997E-2</v>
      </c>
      <c r="AZ86" s="359">
        <f t="shared" si="109"/>
        <v>1.5625E-2</v>
      </c>
      <c r="BA86" s="358">
        <f t="shared" si="81"/>
        <v>1.8749999999999999E-2</v>
      </c>
      <c r="BB86" s="359">
        <f t="shared" si="109"/>
        <v>1.5625E-2</v>
      </c>
      <c r="BC86" s="358">
        <f t="shared" si="82"/>
        <v>1.8749999999999999E-2</v>
      </c>
      <c r="BD86" s="359">
        <f t="shared" si="109"/>
        <v>0.1</v>
      </c>
      <c r="BE86" s="358">
        <f t="shared" si="83"/>
        <v>0.12</v>
      </c>
      <c r="BF86" s="359">
        <f t="shared" si="109"/>
        <v>2.403846153846154E-2</v>
      </c>
      <c r="BG86" s="358">
        <f t="shared" si="84"/>
        <v>2.8846153846153848E-2</v>
      </c>
      <c r="BH86" s="359">
        <f t="shared" si="109"/>
        <v>1.4999999999999999E-2</v>
      </c>
      <c r="BI86" s="358">
        <f t="shared" si="85"/>
        <v>1.7999999999999999E-2</v>
      </c>
      <c r="BJ86" s="359">
        <f t="shared" si="109"/>
        <v>5.859375E-3</v>
      </c>
      <c r="BK86" s="358">
        <f t="shared" si="86"/>
        <v>7.0312500000000002E-3</v>
      </c>
      <c r="BL86" s="359">
        <f t="shared" si="109"/>
        <v>2.4590163934426229E-2</v>
      </c>
      <c r="BM86" s="358">
        <f t="shared" si="87"/>
        <v>2.9508196721311476E-2</v>
      </c>
      <c r="BN86" s="359">
        <f t="shared" si="109"/>
        <v>5.859375E-3</v>
      </c>
      <c r="BO86" s="358">
        <f t="shared" si="88"/>
        <v>7.0312500000000002E-3</v>
      </c>
      <c r="BP86" s="359">
        <f t="shared" si="109"/>
        <v>2.8846153846153848E-2</v>
      </c>
      <c r="BQ86" s="358">
        <f t="shared" si="89"/>
        <v>3.4615384615384617E-2</v>
      </c>
      <c r="BR86" s="359">
        <f t="shared" si="109"/>
        <v>1.6304347826086956E-2</v>
      </c>
      <c r="BS86" s="358">
        <f t="shared" si="90"/>
        <v>1.9565217391304349E-2</v>
      </c>
      <c r="BT86" s="357">
        <f t="shared" si="109"/>
        <v>2.6785714285714284E-2</v>
      </c>
      <c r="BU86" s="358">
        <f t="shared" si="91"/>
        <v>3.214285714285714E-2</v>
      </c>
      <c r="BV86" s="359">
        <f t="shared" si="109"/>
        <v>1.1194029850746268E-2</v>
      </c>
      <c r="BW86" s="358">
        <f t="shared" si="92"/>
        <v>1.3432835820895522E-2</v>
      </c>
      <c r="BX86" s="359">
        <f t="shared" si="109"/>
        <v>2.9296875E-3</v>
      </c>
      <c r="BY86" s="358">
        <f t="shared" si="93"/>
        <v>3.5156250000000001E-3</v>
      </c>
      <c r="BZ86" s="357">
        <f t="shared" si="109"/>
        <v>0.28125</v>
      </c>
      <c r="CA86" s="358">
        <f t="shared" si="94"/>
        <v>0.33750000000000002</v>
      </c>
      <c r="CB86" s="359">
        <f t="shared" si="109"/>
        <v>2.6408450704225352E-3</v>
      </c>
      <c r="CC86" s="358">
        <f t="shared" si="95"/>
        <v>3.1690140845070424E-3</v>
      </c>
      <c r="CD86" s="359">
        <f t="shared" si="109"/>
        <v>1.1029411764705882E-3</v>
      </c>
      <c r="CE86" s="358">
        <f t="shared" si="96"/>
        <v>1.3235294117647058E-3</v>
      </c>
      <c r="CF86" s="359">
        <f t="shared" si="109"/>
        <v>7.4999999999999997E-2</v>
      </c>
      <c r="CG86" s="358">
        <f t="shared" si="97"/>
        <v>0.09</v>
      </c>
      <c r="CH86" s="357">
        <f t="shared" si="109"/>
        <v>0.23195876288659795</v>
      </c>
      <c r="CI86" s="358">
        <f t="shared" si="98"/>
        <v>0.27835051546391754</v>
      </c>
      <c r="CJ86" s="359">
        <f t="shared" si="109"/>
        <v>2.2321428571428572E-2</v>
      </c>
      <c r="CK86" s="358">
        <f t="shared" si="99"/>
        <v>2.6785714285714284E-2</v>
      </c>
      <c r="CL86" s="359">
        <f t="shared" si="109"/>
        <v>9.3749999999999997E-3</v>
      </c>
      <c r="CM86" s="358">
        <f t="shared" si="100"/>
        <v>1.125E-2</v>
      </c>
      <c r="CN86" s="357">
        <f t="shared" si="109"/>
        <v>7.1428571428571426E-3</v>
      </c>
      <c r="CO86" s="358">
        <f t="shared" si="101"/>
        <v>8.5714285714285719E-3</v>
      </c>
      <c r="CP86" s="359">
        <f t="shared" si="109"/>
        <v>0.9375</v>
      </c>
      <c r="CQ86" s="358">
        <f t="shared" si="102"/>
        <v>1.125</v>
      </c>
      <c r="CR86" s="359">
        <f t="shared" si="109"/>
        <v>7.5000000000000002E-4</v>
      </c>
      <c r="CS86" s="366">
        <f t="shared" si="103"/>
        <v>8.9999999999999998E-4</v>
      </c>
    </row>
    <row r="87" spans="1:97" s="25" customFormat="1">
      <c r="A87" s="340" t="s">
        <v>510</v>
      </c>
      <c r="B87" s="238">
        <v>15</v>
      </c>
      <c r="C87" s="238">
        <v>30</v>
      </c>
      <c r="D87" s="344">
        <f t="shared" ref="D87:D89" si="110">ROUNDDOWN(B87*(1+$D$53*0.1),0)</f>
        <v>45</v>
      </c>
      <c r="E87" s="345">
        <f t="shared" si="104"/>
        <v>67.5</v>
      </c>
      <c r="F87" s="347">
        <f t="shared" ref="F87:F89" si="111">C87*(1+$D$53*0.1)</f>
        <v>90</v>
      </c>
      <c r="H87" s="357">
        <f t="shared" si="105"/>
        <v>3</v>
      </c>
      <c r="I87" s="358">
        <f t="shared" si="106"/>
        <v>6</v>
      </c>
      <c r="J87" s="359">
        <f t="shared" si="105"/>
        <v>3</v>
      </c>
      <c r="K87" s="358">
        <f t="shared" si="106"/>
        <v>6</v>
      </c>
      <c r="L87" s="359">
        <f t="shared" si="59"/>
        <v>0.9</v>
      </c>
      <c r="M87" s="358">
        <f t="shared" si="60"/>
        <v>1.8</v>
      </c>
      <c r="N87" s="359">
        <f t="shared" si="107"/>
        <v>4.5</v>
      </c>
      <c r="O87" s="358">
        <f t="shared" si="62"/>
        <v>9</v>
      </c>
      <c r="P87" s="359">
        <f t="shared" si="108"/>
        <v>0.375</v>
      </c>
      <c r="Q87" s="358">
        <f t="shared" si="63"/>
        <v>0.75</v>
      </c>
      <c r="R87" s="359">
        <f t="shared" ref="R87:CR87" si="112">R62/R$80</f>
        <v>0.34615384615384615</v>
      </c>
      <c r="S87" s="358">
        <f t="shared" si="64"/>
        <v>0.69230769230769229</v>
      </c>
      <c r="T87" s="359">
        <f t="shared" si="112"/>
        <v>0.9</v>
      </c>
      <c r="U87" s="358">
        <f t="shared" si="65"/>
        <v>1.8</v>
      </c>
      <c r="V87" s="359">
        <f t="shared" si="112"/>
        <v>0.3</v>
      </c>
      <c r="W87" s="358">
        <f t="shared" si="66"/>
        <v>0.6</v>
      </c>
      <c r="X87" s="359">
        <f t="shared" si="112"/>
        <v>0.40909090909090912</v>
      </c>
      <c r="Y87" s="358">
        <f t="shared" si="67"/>
        <v>0.81818181818181823</v>
      </c>
      <c r="Z87" s="359">
        <f t="shared" si="112"/>
        <v>0.05</v>
      </c>
      <c r="AA87" s="358">
        <f t="shared" si="68"/>
        <v>0.1</v>
      </c>
      <c r="AB87" s="359">
        <f t="shared" si="112"/>
        <v>1.35E-2</v>
      </c>
      <c r="AC87" s="358">
        <f t="shared" si="69"/>
        <v>2.7E-2</v>
      </c>
      <c r="AD87" s="359">
        <f t="shared" si="112"/>
        <v>1.6423357664233577E-2</v>
      </c>
      <c r="AE87" s="358">
        <f t="shared" si="70"/>
        <v>3.2846715328467155E-2</v>
      </c>
      <c r="AF87" s="359">
        <f t="shared" si="112"/>
        <v>3.214285714285714E-2</v>
      </c>
      <c r="AG87" s="358">
        <f t="shared" si="71"/>
        <v>6.4285714285714279E-2</v>
      </c>
      <c r="AH87" s="359">
        <f t="shared" si="112"/>
        <v>9.375E-2</v>
      </c>
      <c r="AI87" s="358">
        <f t="shared" si="72"/>
        <v>0.1875</v>
      </c>
      <c r="AJ87" s="359">
        <f t="shared" si="112"/>
        <v>4.712041884816754E-2</v>
      </c>
      <c r="AK87" s="358">
        <f t="shared" si="73"/>
        <v>9.4240837696335081E-2</v>
      </c>
      <c r="AL87" s="359">
        <f t="shared" si="112"/>
        <v>4.2857142857142858E-2</v>
      </c>
      <c r="AM87" s="358">
        <f t="shared" si="74"/>
        <v>8.5714285714285715E-2</v>
      </c>
      <c r="AN87" s="359">
        <f t="shared" si="112"/>
        <v>1.8749999999999999E-2</v>
      </c>
      <c r="AO87" s="358">
        <f t="shared" si="75"/>
        <v>3.7499999999999999E-2</v>
      </c>
      <c r="AP87" s="359">
        <f t="shared" si="112"/>
        <v>3.4482758620689655E-2</v>
      </c>
      <c r="AQ87" s="358">
        <f t="shared" si="76"/>
        <v>6.8965517241379309E-2</v>
      </c>
      <c r="AR87" s="359">
        <f t="shared" si="112"/>
        <v>0.12857142857142856</v>
      </c>
      <c r="AS87" s="358">
        <f t="shared" si="77"/>
        <v>0.25714285714285712</v>
      </c>
      <c r="AT87" s="359">
        <f t="shared" si="112"/>
        <v>4.736842105263158E-2</v>
      </c>
      <c r="AU87" s="358">
        <f t="shared" si="78"/>
        <v>9.4736842105263161E-2</v>
      </c>
      <c r="AV87" s="359">
        <f t="shared" si="112"/>
        <v>9.3749999999999997E-3</v>
      </c>
      <c r="AW87" s="358">
        <f t="shared" si="79"/>
        <v>1.8749999999999999E-2</v>
      </c>
      <c r="AX87" s="359">
        <f t="shared" si="112"/>
        <v>9.3749999999999997E-3</v>
      </c>
      <c r="AY87" s="358">
        <f t="shared" si="80"/>
        <v>1.8749999999999999E-2</v>
      </c>
      <c r="AZ87" s="359">
        <f t="shared" si="112"/>
        <v>0.1125</v>
      </c>
      <c r="BA87" s="358">
        <f t="shared" si="81"/>
        <v>0.22500000000000001</v>
      </c>
      <c r="BB87" s="359">
        <f t="shared" si="112"/>
        <v>3.7499999999999999E-2</v>
      </c>
      <c r="BC87" s="358">
        <f t="shared" si="82"/>
        <v>7.4999999999999997E-2</v>
      </c>
      <c r="BD87" s="359">
        <f t="shared" si="112"/>
        <v>0.06</v>
      </c>
      <c r="BE87" s="358">
        <f t="shared" si="83"/>
        <v>0.12</v>
      </c>
      <c r="BF87" s="359">
        <f t="shared" si="112"/>
        <v>0.17307692307692307</v>
      </c>
      <c r="BG87" s="358">
        <f t="shared" si="84"/>
        <v>0.34615384615384615</v>
      </c>
      <c r="BH87" s="359">
        <f t="shared" si="112"/>
        <v>2.2499999999999998E-3</v>
      </c>
      <c r="BI87" s="358">
        <f t="shared" si="85"/>
        <v>4.4999999999999997E-3</v>
      </c>
      <c r="BJ87" s="359">
        <f t="shared" si="112"/>
        <v>4.2187500000000003E-2</v>
      </c>
      <c r="BK87" s="358">
        <f t="shared" si="86"/>
        <v>8.4375000000000006E-2</v>
      </c>
      <c r="BL87" s="359">
        <f t="shared" si="112"/>
        <v>1.4754098360655738E-2</v>
      </c>
      <c r="BM87" s="358">
        <f t="shared" si="87"/>
        <v>2.9508196721311476E-2</v>
      </c>
      <c r="BN87" s="359">
        <f t="shared" si="112"/>
        <v>1.40625E-2</v>
      </c>
      <c r="BO87" s="358">
        <f t="shared" si="88"/>
        <v>2.8125000000000001E-2</v>
      </c>
      <c r="BP87" s="359">
        <f t="shared" si="112"/>
        <v>1.7307692307692309E-2</v>
      </c>
      <c r="BQ87" s="358">
        <f t="shared" si="89"/>
        <v>3.4615384615384617E-2</v>
      </c>
      <c r="BR87" s="359">
        <f t="shared" si="112"/>
        <v>9.7826086956521747E-3</v>
      </c>
      <c r="BS87" s="358">
        <f t="shared" si="90"/>
        <v>1.9565217391304349E-2</v>
      </c>
      <c r="BT87" s="357">
        <f t="shared" si="112"/>
        <v>1.607142857142857E-2</v>
      </c>
      <c r="BU87" s="358">
        <f t="shared" si="91"/>
        <v>3.214285714285714E-2</v>
      </c>
      <c r="BV87" s="359">
        <f t="shared" si="112"/>
        <v>6.7164179104477612E-3</v>
      </c>
      <c r="BW87" s="358">
        <f t="shared" si="92"/>
        <v>1.3432835820895522E-2</v>
      </c>
      <c r="BX87" s="359">
        <f t="shared" si="112"/>
        <v>1.7578125E-3</v>
      </c>
      <c r="BY87" s="358">
        <f t="shared" si="93"/>
        <v>3.5156250000000001E-3</v>
      </c>
      <c r="BZ87" s="357">
        <f t="shared" si="112"/>
        <v>1.40625E-2</v>
      </c>
      <c r="CA87" s="358">
        <f t="shared" si="94"/>
        <v>2.8125000000000001E-2</v>
      </c>
      <c r="CB87" s="359">
        <f t="shared" si="112"/>
        <v>6.3380281690140847E-3</v>
      </c>
      <c r="CC87" s="358">
        <f t="shared" si="95"/>
        <v>1.2676056338028169E-2</v>
      </c>
      <c r="CD87" s="359">
        <f t="shared" si="112"/>
        <v>7.9411764705882345E-3</v>
      </c>
      <c r="CE87" s="358">
        <f t="shared" si="96"/>
        <v>1.5882352941176469E-2</v>
      </c>
      <c r="CF87" s="359">
        <f t="shared" si="112"/>
        <v>4.4999999999999998E-2</v>
      </c>
      <c r="CG87" s="358">
        <f t="shared" si="97"/>
        <v>0.09</v>
      </c>
      <c r="CH87" s="357">
        <f t="shared" si="112"/>
        <v>1.1597938144329897E-2</v>
      </c>
      <c r="CI87" s="358">
        <f t="shared" si="98"/>
        <v>2.3195876288659795E-2</v>
      </c>
      <c r="CJ87" s="359">
        <f t="shared" si="112"/>
        <v>5.3571428571428568E-2</v>
      </c>
      <c r="CK87" s="358">
        <f t="shared" si="99"/>
        <v>0.10714285714285714</v>
      </c>
      <c r="CL87" s="359">
        <f t="shared" si="112"/>
        <v>6.7500000000000004E-2</v>
      </c>
      <c r="CM87" s="358">
        <f t="shared" si="100"/>
        <v>0.13500000000000001</v>
      </c>
      <c r="CN87" s="357">
        <f t="shared" si="112"/>
        <v>4.2857142857142859E-3</v>
      </c>
      <c r="CO87" s="358">
        <f t="shared" si="101"/>
        <v>8.5714285714285719E-3</v>
      </c>
      <c r="CP87" s="359">
        <f t="shared" si="112"/>
        <v>0.5625</v>
      </c>
      <c r="CQ87" s="358">
        <f t="shared" si="102"/>
        <v>1.125</v>
      </c>
      <c r="CR87" s="359">
        <f t="shared" si="112"/>
        <v>4.4999999999999999E-4</v>
      </c>
      <c r="CS87" s="366">
        <f t="shared" si="103"/>
        <v>8.9999999999999998E-4</v>
      </c>
    </row>
    <row r="88" spans="1:97" s="25" customFormat="1">
      <c r="A88" s="107" t="s">
        <v>511</v>
      </c>
      <c r="B88" s="238">
        <v>10</v>
      </c>
      <c r="C88" s="238">
        <v>40</v>
      </c>
      <c r="D88" s="344">
        <f t="shared" si="110"/>
        <v>30</v>
      </c>
      <c r="E88" s="345">
        <f t="shared" si="104"/>
        <v>75</v>
      </c>
      <c r="F88" s="347">
        <f t="shared" si="111"/>
        <v>120</v>
      </c>
      <c r="H88" s="357">
        <f t="shared" si="105"/>
        <v>2</v>
      </c>
      <c r="I88" s="358">
        <f t="shared" si="106"/>
        <v>8</v>
      </c>
      <c r="J88" s="359">
        <f t="shared" si="105"/>
        <v>2</v>
      </c>
      <c r="K88" s="358">
        <f t="shared" si="106"/>
        <v>8</v>
      </c>
      <c r="L88" s="359">
        <f t="shared" si="59"/>
        <v>0.6</v>
      </c>
      <c r="M88" s="358">
        <f t="shared" si="60"/>
        <v>2.4</v>
      </c>
      <c r="N88" s="359">
        <f t="shared" si="107"/>
        <v>3</v>
      </c>
      <c r="O88" s="358">
        <f t="shared" si="62"/>
        <v>12</v>
      </c>
      <c r="P88" s="359">
        <f t="shared" si="108"/>
        <v>0.25</v>
      </c>
      <c r="Q88" s="358">
        <f t="shared" si="63"/>
        <v>1</v>
      </c>
      <c r="R88" s="359">
        <f t="shared" ref="R88:CR88" si="113">R63/R$80</f>
        <v>0.23076923076923078</v>
      </c>
      <c r="S88" s="358">
        <f t="shared" si="64"/>
        <v>0.92307692307692313</v>
      </c>
      <c r="T88" s="359">
        <f t="shared" si="113"/>
        <v>0.6</v>
      </c>
      <c r="U88" s="358">
        <f t="shared" si="65"/>
        <v>2.4</v>
      </c>
      <c r="V88" s="359">
        <f t="shared" si="113"/>
        <v>0.2</v>
      </c>
      <c r="W88" s="358">
        <f t="shared" si="66"/>
        <v>0.8</v>
      </c>
      <c r="X88" s="359">
        <f t="shared" si="113"/>
        <v>0.27272727272727271</v>
      </c>
      <c r="Y88" s="358">
        <f t="shared" si="67"/>
        <v>1.0909090909090908</v>
      </c>
      <c r="Z88" s="359">
        <f t="shared" si="113"/>
        <v>3.3333333333333333E-2</v>
      </c>
      <c r="AA88" s="358">
        <f t="shared" si="68"/>
        <v>0.13333333333333333</v>
      </c>
      <c r="AB88" s="359">
        <f t="shared" si="113"/>
        <v>3.0000000000000001E-3</v>
      </c>
      <c r="AC88" s="358">
        <f t="shared" si="69"/>
        <v>1.2E-2</v>
      </c>
      <c r="AD88" s="359">
        <f t="shared" si="113"/>
        <v>1.0948905109489052E-2</v>
      </c>
      <c r="AE88" s="358">
        <f t="shared" si="70"/>
        <v>4.3795620437956206E-2</v>
      </c>
      <c r="AF88" s="359">
        <f t="shared" si="113"/>
        <v>2.1428571428571429E-2</v>
      </c>
      <c r="AG88" s="358">
        <f t="shared" si="71"/>
        <v>8.5714285714285715E-2</v>
      </c>
      <c r="AH88" s="359">
        <f t="shared" si="113"/>
        <v>0.75</v>
      </c>
      <c r="AI88" s="358">
        <f t="shared" si="72"/>
        <v>3</v>
      </c>
      <c r="AJ88" s="359">
        <f t="shared" si="113"/>
        <v>3.1413612565445025E-2</v>
      </c>
      <c r="AK88" s="358">
        <f t="shared" si="73"/>
        <v>0.1256544502617801</v>
      </c>
      <c r="AL88" s="359">
        <f t="shared" si="113"/>
        <v>2.8571428571428571E-2</v>
      </c>
      <c r="AM88" s="358">
        <f t="shared" si="74"/>
        <v>0.11428571428571428</v>
      </c>
      <c r="AN88" s="359">
        <f t="shared" si="113"/>
        <v>4.1666666666666666E-3</v>
      </c>
      <c r="AO88" s="358">
        <f t="shared" si="75"/>
        <v>1.6666666666666666E-2</v>
      </c>
      <c r="AP88" s="359">
        <f t="shared" si="113"/>
        <v>5.7471264367816091E-3</v>
      </c>
      <c r="AQ88" s="358">
        <f t="shared" si="76"/>
        <v>2.2988505747126436E-2</v>
      </c>
      <c r="AR88" s="359">
        <f t="shared" si="113"/>
        <v>2.8571428571428571E-2</v>
      </c>
      <c r="AS88" s="358">
        <f t="shared" si="77"/>
        <v>0.11428571428571428</v>
      </c>
      <c r="AT88" s="359">
        <f t="shared" si="113"/>
        <v>3.1578947368421054E-2</v>
      </c>
      <c r="AU88" s="358">
        <f t="shared" si="78"/>
        <v>0.12631578947368421</v>
      </c>
      <c r="AV88" s="359">
        <f t="shared" si="113"/>
        <v>6.2500000000000003E-3</v>
      </c>
      <c r="AW88" s="358">
        <f t="shared" si="79"/>
        <v>2.5000000000000001E-2</v>
      </c>
      <c r="AX88" s="359">
        <f t="shared" si="113"/>
        <v>7.4999999999999997E-2</v>
      </c>
      <c r="AY88" s="358">
        <f t="shared" si="80"/>
        <v>0.3</v>
      </c>
      <c r="AZ88" s="359">
        <f t="shared" si="113"/>
        <v>2.5000000000000001E-2</v>
      </c>
      <c r="BA88" s="358">
        <f t="shared" si="81"/>
        <v>0.1</v>
      </c>
      <c r="BB88" s="359">
        <f t="shared" si="113"/>
        <v>6.2500000000000003E-3</v>
      </c>
      <c r="BC88" s="358">
        <f t="shared" si="82"/>
        <v>2.5000000000000001E-2</v>
      </c>
      <c r="BD88" s="359">
        <f t="shared" si="113"/>
        <v>0.04</v>
      </c>
      <c r="BE88" s="358">
        <f t="shared" si="83"/>
        <v>0.16</v>
      </c>
      <c r="BF88" s="359">
        <f t="shared" si="113"/>
        <v>3.8461538461538464E-2</v>
      </c>
      <c r="BG88" s="358">
        <f t="shared" si="84"/>
        <v>0.15384615384615385</v>
      </c>
      <c r="BH88" s="359">
        <f t="shared" si="113"/>
        <v>1.7999999999999999E-2</v>
      </c>
      <c r="BI88" s="358">
        <f t="shared" si="85"/>
        <v>7.1999999999999995E-2</v>
      </c>
      <c r="BJ88" s="359">
        <f t="shared" si="113"/>
        <v>9.3749999999999997E-3</v>
      </c>
      <c r="BK88" s="358">
        <f t="shared" si="86"/>
        <v>3.7499999999999999E-2</v>
      </c>
      <c r="BL88" s="359">
        <f t="shared" si="113"/>
        <v>9.8360655737704927E-3</v>
      </c>
      <c r="BM88" s="358">
        <f t="shared" si="87"/>
        <v>3.9344262295081971E-2</v>
      </c>
      <c r="BN88" s="359">
        <f t="shared" si="113"/>
        <v>2.3437499999999999E-3</v>
      </c>
      <c r="BO88" s="358">
        <f t="shared" si="88"/>
        <v>9.3749999999999997E-3</v>
      </c>
      <c r="BP88" s="359">
        <f t="shared" si="113"/>
        <v>1.1538461538461539E-2</v>
      </c>
      <c r="BQ88" s="358">
        <f t="shared" si="89"/>
        <v>4.6153846153846156E-2</v>
      </c>
      <c r="BR88" s="359">
        <f t="shared" si="113"/>
        <v>6.5217391304347823E-3</v>
      </c>
      <c r="BS88" s="358">
        <f t="shared" si="90"/>
        <v>2.6086956521739129E-2</v>
      </c>
      <c r="BT88" s="357">
        <f t="shared" si="113"/>
        <v>1.0714285714285714E-2</v>
      </c>
      <c r="BU88" s="358">
        <f t="shared" si="91"/>
        <v>4.2857142857142858E-2</v>
      </c>
      <c r="BV88" s="359">
        <f t="shared" si="113"/>
        <v>4.4776119402985077E-3</v>
      </c>
      <c r="BW88" s="358">
        <f t="shared" si="92"/>
        <v>1.7910447761194031E-2</v>
      </c>
      <c r="BX88" s="359">
        <f t="shared" si="113"/>
        <v>3.5156250000000001E-3</v>
      </c>
      <c r="BY88" s="358">
        <f t="shared" si="93"/>
        <v>1.40625E-2</v>
      </c>
      <c r="BZ88" s="357">
        <f t="shared" si="113"/>
        <v>9.3749999999999997E-3</v>
      </c>
      <c r="CA88" s="358">
        <f t="shared" si="94"/>
        <v>3.7499999999999999E-2</v>
      </c>
      <c r="CB88" s="359">
        <f t="shared" si="113"/>
        <v>1.056338028169014E-3</v>
      </c>
      <c r="CC88" s="358">
        <f t="shared" si="95"/>
        <v>4.2253521126760559E-3</v>
      </c>
      <c r="CD88" s="359">
        <f t="shared" si="113"/>
        <v>1.7647058823529412E-3</v>
      </c>
      <c r="CE88" s="358">
        <f t="shared" si="96"/>
        <v>7.058823529411765E-3</v>
      </c>
      <c r="CF88" s="359">
        <f t="shared" si="113"/>
        <v>0.03</v>
      </c>
      <c r="CG88" s="358">
        <f t="shared" si="97"/>
        <v>0.12</v>
      </c>
      <c r="CH88" s="357">
        <f t="shared" si="113"/>
        <v>7.7319587628865982E-3</v>
      </c>
      <c r="CI88" s="358">
        <f t="shared" si="98"/>
        <v>3.0927835051546393E-2</v>
      </c>
      <c r="CJ88" s="359">
        <f t="shared" si="113"/>
        <v>8.9285714285714281E-3</v>
      </c>
      <c r="CK88" s="358">
        <f t="shared" si="99"/>
        <v>3.5714285714285712E-2</v>
      </c>
      <c r="CL88" s="359">
        <f t="shared" si="113"/>
        <v>1.4999999999999999E-2</v>
      </c>
      <c r="CM88" s="358">
        <f t="shared" si="100"/>
        <v>0.06</v>
      </c>
      <c r="CN88" s="357">
        <f t="shared" si="113"/>
        <v>2.8571428571428571E-3</v>
      </c>
      <c r="CO88" s="358">
        <f t="shared" si="101"/>
        <v>1.1428571428571429E-2</v>
      </c>
      <c r="CP88" s="359">
        <f t="shared" si="113"/>
        <v>0.375</v>
      </c>
      <c r="CQ88" s="358">
        <f t="shared" si="102"/>
        <v>1.5</v>
      </c>
      <c r="CR88" s="359">
        <f t="shared" si="113"/>
        <v>2.9999999999999997E-4</v>
      </c>
      <c r="CS88" s="366">
        <f t="shared" si="103"/>
        <v>1.1999999999999999E-3</v>
      </c>
    </row>
    <row r="89" spans="1:97" s="25" customFormat="1">
      <c r="A89" s="25" t="s">
        <v>371</v>
      </c>
      <c r="B89" s="238">
        <v>20</v>
      </c>
      <c r="C89" s="238">
        <v>25</v>
      </c>
      <c r="D89" s="344">
        <f t="shared" si="110"/>
        <v>60</v>
      </c>
      <c r="E89" s="345">
        <f t="shared" si="104"/>
        <v>67.5</v>
      </c>
      <c r="F89" s="347">
        <f t="shared" si="111"/>
        <v>75</v>
      </c>
      <c r="H89" s="357">
        <f t="shared" si="105"/>
        <v>4</v>
      </c>
      <c r="I89" s="358">
        <f t="shared" si="106"/>
        <v>5</v>
      </c>
      <c r="J89" s="359">
        <f t="shared" si="105"/>
        <v>4</v>
      </c>
      <c r="K89" s="358">
        <f t="shared" si="106"/>
        <v>5</v>
      </c>
      <c r="L89" s="359">
        <f t="shared" si="59"/>
        <v>1.2</v>
      </c>
      <c r="M89" s="358">
        <f t="shared" si="60"/>
        <v>1.5</v>
      </c>
      <c r="N89" s="359">
        <f t="shared" si="107"/>
        <v>6</v>
      </c>
      <c r="O89" s="358">
        <f t="shared" si="62"/>
        <v>7.5</v>
      </c>
      <c r="P89" s="359">
        <f t="shared" si="108"/>
        <v>0.5</v>
      </c>
      <c r="Q89" s="358">
        <f t="shared" si="63"/>
        <v>0.625</v>
      </c>
      <c r="R89" s="359">
        <f t="shared" ref="R89:CR89" si="114">R64/R$80</f>
        <v>0.46153846153846156</v>
      </c>
      <c r="S89" s="358">
        <f t="shared" si="64"/>
        <v>0.57692307692307687</v>
      </c>
      <c r="T89" s="359">
        <f t="shared" si="114"/>
        <v>1.2</v>
      </c>
      <c r="U89" s="358">
        <f t="shared" si="65"/>
        <v>1.5</v>
      </c>
      <c r="V89" s="359">
        <f t="shared" si="114"/>
        <v>0.4</v>
      </c>
      <c r="W89" s="358">
        <f t="shared" si="66"/>
        <v>0.5</v>
      </c>
      <c r="X89" s="359">
        <f t="shared" si="114"/>
        <v>0.54545454545454541</v>
      </c>
      <c r="Y89" s="358">
        <f t="shared" si="67"/>
        <v>0.68181818181818177</v>
      </c>
      <c r="Z89" s="359">
        <f t="shared" si="114"/>
        <v>6.6666666666666666E-2</v>
      </c>
      <c r="AA89" s="358">
        <f t="shared" si="68"/>
        <v>8.3333333333333329E-2</v>
      </c>
      <c r="AB89" s="359">
        <f t="shared" si="114"/>
        <v>6.0000000000000001E-3</v>
      </c>
      <c r="AC89" s="358">
        <f t="shared" si="69"/>
        <v>7.4999999999999997E-3</v>
      </c>
      <c r="AD89" s="359">
        <f t="shared" si="114"/>
        <v>8.7591240875912413E-2</v>
      </c>
      <c r="AE89" s="358">
        <f t="shared" si="70"/>
        <v>0.10948905109489052</v>
      </c>
      <c r="AF89" s="359">
        <f t="shared" si="114"/>
        <v>4.2857142857142858E-2</v>
      </c>
      <c r="AG89" s="358">
        <f t="shared" si="71"/>
        <v>5.3571428571428568E-2</v>
      </c>
      <c r="AH89" s="359">
        <f t="shared" si="114"/>
        <v>0.5</v>
      </c>
      <c r="AI89" s="358">
        <f t="shared" si="72"/>
        <v>0.625</v>
      </c>
      <c r="AJ89" s="359">
        <f t="shared" si="114"/>
        <v>6.2827225130890049E-2</v>
      </c>
      <c r="AK89" s="358">
        <f t="shared" si="73"/>
        <v>7.8534031413612565E-2</v>
      </c>
      <c r="AL89" s="359">
        <f t="shared" si="114"/>
        <v>5.7142857142857141E-2</v>
      </c>
      <c r="AM89" s="358">
        <f t="shared" si="74"/>
        <v>7.1428571428571425E-2</v>
      </c>
      <c r="AN89" s="359">
        <f t="shared" si="114"/>
        <v>3.3333333333333333E-2</v>
      </c>
      <c r="AO89" s="358">
        <f t="shared" si="75"/>
        <v>4.1666666666666664E-2</v>
      </c>
      <c r="AP89" s="359">
        <f t="shared" si="114"/>
        <v>4.5977011494252873E-2</v>
      </c>
      <c r="AQ89" s="358">
        <f t="shared" si="76"/>
        <v>5.7471264367816091E-2</v>
      </c>
      <c r="AR89" s="359">
        <f t="shared" si="114"/>
        <v>5.7142857142857141E-2</v>
      </c>
      <c r="AS89" s="358">
        <f t="shared" si="77"/>
        <v>7.1428571428571425E-2</v>
      </c>
      <c r="AT89" s="359">
        <f t="shared" si="114"/>
        <v>6.3157894736842107E-2</v>
      </c>
      <c r="AU89" s="358">
        <f t="shared" si="78"/>
        <v>7.8947368421052627E-2</v>
      </c>
      <c r="AV89" s="359">
        <f t="shared" si="114"/>
        <v>0.05</v>
      </c>
      <c r="AW89" s="358">
        <f t="shared" si="79"/>
        <v>6.25E-2</v>
      </c>
      <c r="AX89" s="359">
        <f t="shared" si="114"/>
        <v>0.05</v>
      </c>
      <c r="AY89" s="358">
        <f t="shared" si="80"/>
        <v>6.25E-2</v>
      </c>
      <c r="AZ89" s="359">
        <f t="shared" si="114"/>
        <v>0.05</v>
      </c>
      <c r="BA89" s="358">
        <f t="shared" si="81"/>
        <v>6.25E-2</v>
      </c>
      <c r="BB89" s="359">
        <f t="shared" si="114"/>
        <v>0.05</v>
      </c>
      <c r="BC89" s="358">
        <f t="shared" si="82"/>
        <v>6.25E-2</v>
      </c>
      <c r="BD89" s="359">
        <f t="shared" si="114"/>
        <v>0.08</v>
      </c>
      <c r="BE89" s="358">
        <f t="shared" si="83"/>
        <v>0.1</v>
      </c>
      <c r="BF89" s="359">
        <f t="shared" si="114"/>
        <v>7.6923076923076927E-2</v>
      </c>
      <c r="BG89" s="358">
        <f t="shared" si="84"/>
        <v>9.6153846153846159E-2</v>
      </c>
      <c r="BH89" s="359">
        <f t="shared" si="114"/>
        <v>1.2E-2</v>
      </c>
      <c r="BI89" s="358">
        <f t="shared" si="85"/>
        <v>1.4999999999999999E-2</v>
      </c>
      <c r="BJ89" s="359">
        <f t="shared" si="114"/>
        <v>1.8749999999999999E-2</v>
      </c>
      <c r="BK89" s="358">
        <f t="shared" si="86"/>
        <v>2.34375E-2</v>
      </c>
      <c r="BL89" s="359">
        <f t="shared" si="114"/>
        <v>1.9672131147540985E-2</v>
      </c>
      <c r="BM89" s="358">
        <f t="shared" si="87"/>
        <v>2.4590163934426229E-2</v>
      </c>
      <c r="BN89" s="359">
        <f t="shared" si="114"/>
        <v>1.8749999999999999E-2</v>
      </c>
      <c r="BO89" s="358">
        <f t="shared" si="88"/>
        <v>2.34375E-2</v>
      </c>
      <c r="BP89" s="359">
        <f t="shared" si="114"/>
        <v>2.3076923076923078E-2</v>
      </c>
      <c r="BQ89" s="358">
        <f t="shared" si="89"/>
        <v>2.8846153846153848E-2</v>
      </c>
      <c r="BR89" s="359">
        <f t="shared" si="114"/>
        <v>1.3043478260869565E-2</v>
      </c>
      <c r="BS89" s="358">
        <f t="shared" si="90"/>
        <v>1.6304347826086956E-2</v>
      </c>
      <c r="BT89" s="357">
        <f t="shared" si="114"/>
        <v>2.1428571428571429E-2</v>
      </c>
      <c r="BU89" s="358">
        <f t="shared" si="91"/>
        <v>2.6785714285714284E-2</v>
      </c>
      <c r="BV89" s="359">
        <f t="shared" si="114"/>
        <v>8.9552238805970154E-3</v>
      </c>
      <c r="BW89" s="358">
        <f t="shared" si="92"/>
        <v>1.1194029850746268E-2</v>
      </c>
      <c r="BX89" s="359">
        <f t="shared" si="114"/>
        <v>9.3749999999999997E-3</v>
      </c>
      <c r="BY89" s="358">
        <f t="shared" si="93"/>
        <v>1.171875E-2</v>
      </c>
      <c r="BZ89" s="357">
        <f t="shared" si="114"/>
        <v>7.4999999999999997E-2</v>
      </c>
      <c r="CA89" s="358">
        <f t="shared" si="94"/>
        <v>9.375E-2</v>
      </c>
      <c r="CB89" s="359">
        <f t="shared" si="114"/>
        <v>8.4507042253521118E-3</v>
      </c>
      <c r="CC89" s="358">
        <f t="shared" si="95"/>
        <v>1.0563380281690141E-2</v>
      </c>
      <c r="CD89" s="359">
        <f t="shared" si="114"/>
        <v>3.5294117647058825E-3</v>
      </c>
      <c r="CE89" s="358">
        <f t="shared" si="96"/>
        <v>4.4117647058823529E-3</v>
      </c>
      <c r="CF89" s="359">
        <f t="shared" si="114"/>
        <v>0.06</v>
      </c>
      <c r="CG89" s="358">
        <f t="shared" si="97"/>
        <v>7.4999999999999997E-2</v>
      </c>
      <c r="CH89" s="357">
        <f t="shared" si="114"/>
        <v>6.1855670103092786E-2</v>
      </c>
      <c r="CI89" s="358">
        <f t="shared" si="98"/>
        <v>7.7319587628865982E-2</v>
      </c>
      <c r="CJ89" s="359">
        <f t="shared" si="114"/>
        <v>7.1428571428571425E-2</v>
      </c>
      <c r="CK89" s="358">
        <f t="shared" si="99"/>
        <v>8.9285714285714288E-2</v>
      </c>
      <c r="CL89" s="359">
        <f t="shared" si="114"/>
        <v>0.03</v>
      </c>
      <c r="CM89" s="358">
        <f t="shared" si="100"/>
        <v>3.7499999999999999E-2</v>
      </c>
      <c r="CN89" s="357">
        <f t="shared" si="114"/>
        <v>5.7142857142857143E-3</v>
      </c>
      <c r="CO89" s="358">
        <f t="shared" si="101"/>
        <v>7.1428571428571426E-3</v>
      </c>
      <c r="CP89" s="359">
        <f t="shared" si="114"/>
        <v>0.75</v>
      </c>
      <c r="CQ89" s="358">
        <f t="shared" si="102"/>
        <v>0.9375</v>
      </c>
      <c r="CR89" s="359">
        <f t="shared" si="114"/>
        <v>5.9999999999999995E-4</v>
      </c>
      <c r="CS89" s="366">
        <f t="shared" si="103"/>
        <v>7.5000000000000002E-4</v>
      </c>
    </row>
    <row r="90" spans="1:97" s="25" customFormat="1">
      <c r="A90" s="27" t="s">
        <v>81</v>
      </c>
      <c r="B90" s="326">
        <v>20</v>
      </c>
      <c r="C90" s="326">
        <v>30</v>
      </c>
      <c r="D90" s="351">
        <f>ROUNDDOWN(B90*(1+$D$53*0.1),0)</f>
        <v>60</v>
      </c>
      <c r="E90" s="352">
        <f t="shared" si="104"/>
        <v>75</v>
      </c>
      <c r="F90" s="353">
        <f>C90*(1+$D$53*0.1)</f>
        <v>90</v>
      </c>
      <c r="G90" s="27"/>
      <c r="H90" s="360">
        <f t="shared" si="105"/>
        <v>4</v>
      </c>
      <c r="I90" s="361">
        <f t="shared" si="106"/>
        <v>6</v>
      </c>
      <c r="J90" s="362">
        <f t="shared" si="105"/>
        <v>4</v>
      </c>
      <c r="K90" s="361">
        <f t="shared" si="106"/>
        <v>6</v>
      </c>
      <c r="L90" s="362">
        <f t="shared" si="59"/>
        <v>1.2</v>
      </c>
      <c r="M90" s="361">
        <f t="shared" si="60"/>
        <v>1.8</v>
      </c>
      <c r="N90" s="362">
        <f t="shared" si="107"/>
        <v>6</v>
      </c>
      <c r="O90" s="361">
        <f t="shared" si="62"/>
        <v>9</v>
      </c>
      <c r="P90" s="362">
        <f t="shared" si="108"/>
        <v>0.5</v>
      </c>
      <c r="Q90" s="361">
        <f t="shared" si="63"/>
        <v>0.75</v>
      </c>
      <c r="R90" s="362">
        <f t="shared" ref="R90:CR90" si="115">R65/R$80</f>
        <v>0.46153846153846156</v>
      </c>
      <c r="S90" s="361">
        <f t="shared" si="64"/>
        <v>0.69230769230769229</v>
      </c>
      <c r="T90" s="362">
        <f t="shared" si="115"/>
        <v>1.2</v>
      </c>
      <c r="U90" s="361">
        <f t="shared" si="65"/>
        <v>1.8</v>
      </c>
      <c r="V90" s="362">
        <f t="shared" si="115"/>
        <v>0.4</v>
      </c>
      <c r="W90" s="361">
        <f t="shared" si="66"/>
        <v>0.6</v>
      </c>
      <c r="X90" s="362">
        <f t="shared" si="115"/>
        <v>0.54545454545454541</v>
      </c>
      <c r="Y90" s="361">
        <f t="shared" si="67"/>
        <v>0.81818181818181823</v>
      </c>
      <c r="Z90" s="362">
        <f t="shared" si="115"/>
        <v>6.6666666666666666E-2</v>
      </c>
      <c r="AA90" s="361">
        <f t="shared" si="68"/>
        <v>0.1</v>
      </c>
      <c r="AB90" s="362">
        <f t="shared" si="115"/>
        <v>6.0000000000000001E-3</v>
      </c>
      <c r="AC90" s="361">
        <f t="shared" si="69"/>
        <v>8.9999999999999993E-3</v>
      </c>
      <c r="AD90" s="362">
        <f t="shared" si="115"/>
        <v>8.7591240875912413E-2</v>
      </c>
      <c r="AE90" s="361">
        <f t="shared" si="70"/>
        <v>0.13138686131386862</v>
      </c>
      <c r="AF90" s="362">
        <f t="shared" si="115"/>
        <v>4.2857142857142858E-2</v>
      </c>
      <c r="AG90" s="361">
        <f t="shared" si="71"/>
        <v>6.4285714285714279E-2</v>
      </c>
      <c r="AH90" s="362">
        <f t="shared" si="115"/>
        <v>0.5</v>
      </c>
      <c r="AI90" s="361">
        <f t="shared" si="72"/>
        <v>0.75</v>
      </c>
      <c r="AJ90" s="362">
        <f t="shared" si="115"/>
        <v>6.2827225130890049E-2</v>
      </c>
      <c r="AK90" s="361">
        <f t="shared" si="73"/>
        <v>9.4240837696335081E-2</v>
      </c>
      <c r="AL90" s="362">
        <f t="shared" si="115"/>
        <v>5.7142857142857141E-2</v>
      </c>
      <c r="AM90" s="361">
        <f t="shared" si="74"/>
        <v>8.5714285714285715E-2</v>
      </c>
      <c r="AN90" s="362">
        <f t="shared" si="115"/>
        <v>3.3333333333333333E-2</v>
      </c>
      <c r="AO90" s="361">
        <f t="shared" si="75"/>
        <v>0.05</v>
      </c>
      <c r="AP90" s="362">
        <f t="shared" si="115"/>
        <v>4.5977011494252873E-2</v>
      </c>
      <c r="AQ90" s="361">
        <f t="shared" si="76"/>
        <v>6.8965517241379309E-2</v>
      </c>
      <c r="AR90" s="362">
        <f t="shared" si="115"/>
        <v>5.7142857142857141E-2</v>
      </c>
      <c r="AS90" s="361">
        <f t="shared" si="77"/>
        <v>8.5714285714285715E-2</v>
      </c>
      <c r="AT90" s="362">
        <f t="shared" si="115"/>
        <v>6.3157894736842107E-2</v>
      </c>
      <c r="AU90" s="361">
        <f t="shared" si="78"/>
        <v>9.4736842105263161E-2</v>
      </c>
      <c r="AV90" s="362">
        <f t="shared" si="115"/>
        <v>0.05</v>
      </c>
      <c r="AW90" s="361">
        <f t="shared" si="79"/>
        <v>7.4999999999999997E-2</v>
      </c>
      <c r="AX90" s="362">
        <f t="shared" si="115"/>
        <v>0.05</v>
      </c>
      <c r="AY90" s="361">
        <f t="shared" si="80"/>
        <v>7.4999999999999997E-2</v>
      </c>
      <c r="AZ90" s="362">
        <f t="shared" si="115"/>
        <v>0.05</v>
      </c>
      <c r="BA90" s="361">
        <f t="shared" si="81"/>
        <v>7.4999999999999997E-2</v>
      </c>
      <c r="BB90" s="362">
        <f t="shared" si="115"/>
        <v>0.05</v>
      </c>
      <c r="BC90" s="361">
        <f t="shared" si="82"/>
        <v>7.4999999999999997E-2</v>
      </c>
      <c r="BD90" s="362">
        <f t="shared" si="115"/>
        <v>0.08</v>
      </c>
      <c r="BE90" s="361">
        <f t="shared" si="83"/>
        <v>0.12</v>
      </c>
      <c r="BF90" s="362">
        <f t="shared" si="115"/>
        <v>7.6923076923076927E-2</v>
      </c>
      <c r="BG90" s="361">
        <f t="shared" si="84"/>
        <v>0.11538461538461539</v>
      </c>
      <c r="BH90" s="362">
        <f t="shared" si="115"/>
        <v>1.2E-2</v>
      </c>
      <c r="BI90" s="361">
        <f t="shared" si="85"/>
        <v>1.7999999999999999E-2</v>
      </c>
      <c r="BJ90" s="362">
        <f t="shared" si="115"/>
        <v>1.8749999999999999E-2</v>
      </c>
      <c r="BK90" s="361">
        <f t="shared" si="86"/>
        <v>2.8125000000000001E-2</v>
      </c>
      <c r="BL90" s="362">
        <f t="shared" si="115"/>
        <v>1.9672131147540985E-2</v>
      </c>
      <c r="BM90" s="361">
        <f t="shared" si="87"/>
        <v>2.9508196721311476E-2</v>
      </c>
      <c r="BN90" s="362">
        <f t="shared" si="115"/>
        <v>1.8749999999999999E-2</v>
      </c>
      <c r="BO90" s="361">
        <f t="shared" si="88"/>
        <v>2.8125000000000001E-2</v>
      </c>
      <c r="BP90" s="362">
        <f t="shared" si="115"/>
        <v>2.3076923076923078E-2</v>
      </c>
      <c r="BQ90" s="361">
        <f t="shared" si="89"/>
        <v>3.4615384615384617E-2</v>
      </c>
      <c r="BR90" s="362">
        <f t="shared" si="115"/>
        <v>1.3043478260869565E-2</v>
      </c>
      <c r="BS90" s="361">
        <f t="shared" si="90"/>
        <v>1.9565217391304349E-2</v>
      </c>
      <c r="BT90" s="360">
        <f t="shared" si="115"/>
        <v>2.1428571428571429E-2</v>
      </c>
      <c r="BU90" s="361">
        <f t="shared" si="91"/>
        <v>3.214285714285714E-2</v>
      </c>
      <c r="BV90" s="362">
        <f t="shared" si="115"/>
        <v>8.9552238805970154E-3</v>
      </c>
      <c r="BW90" s="361">
        <f t="shared" si="92"/>
        <v>1.3432835820895522E-2</v>
      </c>
      <c r="BX90" s="362">
        <f t="shared" si="115"/>
        <v>9.3749999999999997E-3</v>
      </c>
      <c r="BY90" s="361">
        <f t="shared" si="93"/>
        <v>1.40625E-2</v>
      </c>
      <c r="BZ90" s="360">
        <f t="shared" si="115"/>
        <v>7.4999999999999997E-2</v>
      </c>
      <c r="CA90" s="361">
        <f t="shared" si="94"/>
        <v>0.1125</v>
      </c>
      <c r="CB90" s="362">
        <f t="shared" si="115"/>
        <v>8.4507042253521118E-3</v>
      </c>
      <c r="CC90" s="361">
        <f t="shared" si="95"/>
        <v>1.2676056338028169E-2</v>
      </c>
      <c r="CD90" s="362">
        <f t="shared" si="115"/>
        <v>3.5294117647058825E-3</v>
      </c>
      <c r="CE90" s="361">
        <f t="shared" si="96"/>
        <v>5.2941176470588233E-3</v>
      </c>
      <c r="CF90" s="362">
        <f t="shared" si="115"/>
        <v>0.06</v>
      </c>
      <c r="CG90" s="361">
        <f t="shared" si="97"/>
        <v>0.09</v>
      </c>
      <c r="CH90" s="360">
        <f t="shared" si="115"/>
        <v>6.1855670103092786E-2</v>
      </c>
      <c r="CI90" s="361">
        <f t="shared" si="98"/>
        <v>9.2783505154639179E-2</v>
      </c>
      <c r="CJ90" s="362">
        <f t="shared" si="115"/>
        <v>7.1428571428571425E-2</v>
      </c>
      <c r="CK90" s="361">
        <f t="shared" si="99"/>
        <v>0.10714285714285714</v>
      </c>
      <c r="CL90" s="362">
        <f t="shared" si="115"/>
        <v>0.03</v>
      </c>
      <c r="CM90" s="361">
        <f t="shared" si="100"/>
        <v>4.4999999999999998E-2</v>
      </c>
      <c r="CN90" s="360">
        <f t="shared" si="115"/>
        <v>5.7142857142857143E-3</v>
      </c>
      <c r="CO90" s="361">
        <f t="shared" si="101"/>
        <v>8.5714285714285719E-3</v>
      </c>
      <c r="CP90" s="362">
        <f t="shared" si="115"/>
        <v>0.75</v>
      </c>
      <c r="CQ90" s="361">
        <f t="shared" si="102"/>
        <v>1.125</v>
      </c>
      <c r="CR90" s="362">
        <f t="shared" si="115"/>
        <v>5.9999999999999995E-4</v>
      </c>
      <c r="CS90" s="367">
        <f t="shared" si="103"/>
        <v>8.9999999999999998E-4</v>
      </c>
    </row>
    <row r="91" spans="1:97" s="25" customFormat="1">
      <c r="A91" s="105" t="s">
        <v>114</v>
      </c>
      <c r="B91" s="238">
        <v>30</v>
      </c>
      <c r="C91" s="238">
        <v>80</v>
      </c>
      <c r="D91" s="344">
        <f>ROUNDDOWN(B91*(1+$D$53*0.1),0)</f>
        <v>90</v>
      </c>
      <c r="E91" s="345">
        <f t="shared" si="104"/>
        <v>165</v>
      </c>
      <c r="F91" s="347">
        <f>C91*(1+$D$53*0.1)</f>
        <v>240</v>
      </c>
      <c r="H91" s="357">
        <f t="shared" si="105"/>
        <v>6</v>
      </c>
      <c r="I91" s="358">
        <f t="shared" si="106"/>
        <v>16</v>
      </c>
      <c r="J91" s="359">
        <f t="shared" si="105"/>
        <v>6</v>
      </c>
      <c r="K91" s="358">
        <f t="shared" si="106"/>
        <v>16</v>
      </c>
      <c r="L91" s="359">
        <f t="shared" si="59"/>
        <v>1.8</v>
      </c>
      <c r="M91" s="358">
        <f t="shared" si="60"/>
        <v>4.8</v>
      </c>
      <c r="N91" s="359">
        <f t="shared" si="107"/>
        <v>9</v>
      </c>
      <c r="O91" s="358">
        <f t="shared" si="62"/>
        <v>24</v>
      </c>
      <c r="P91" s="359">
        <f t="shared" si="108"/>
        <v>0.75</v>
      </c>
      <c r="Q91" s="358">
        <f t="shared" si="63"/>
        <v>2</v>
      </c>
      <c r="R91" s="359">
        <f t="shared" ref="R91:CR91" si="116">R66/R$80</f>
        <v>0.69230769230769229</v>
      </c>
      <c r="S91" s="358">
        <f t="shared" si="64"/>
        <v>1.8461538461538463</v>
      </c>
      <c r="T91" s="359">
        <f t="shared" si="116"/>
        <v>1.8</v>
      </c>
      <c r="U91" s="358">
        <f t="shared" si="65"/>
        <v>4.8</v>
      </c>
      <c r="V91" s="359">
        <f t="shared" si="116"/>
        <v>0.6</v>
      </c>
      <c r="W91" s="358">
        <f t="shared" si="66"/>
        <v>1.6</v>
      </c>
      <c r="X91" s="359">
        <f t="shared" si="116"/>
        <v>0.81818181818181823</v>
      </c>
      <c r="Y91" s="358">
        <f t="shared" si="67"/>
        <v>2.1818181818181817</v>
      </c>
      <c r="Z91" s="359">
        <f t="shared" si="116"/>
        <v>0.1</v>
      </c>
      <c r="AA91" s="358">
        <f t="shared" si="68"/>
        <v>0.26666666666666666</v>
      </c>
      <c r="AB91" s="359">
        <f t="shared" si="116"/>
        <v>2.2499999999999998E-3</v>
      </c>
      <c r="AC91" s="358">
        <f t="shared" si="69"/>
        <v>6.0000000000000001E-3</v>
      </c>
      <c r="AD91" s="359">
        <f t="shared" si="116"/>
        <v>0.13138686131386862</v>
      </c>
      <c r="AE91" s="358">
        <f t="shared" si="70"/>
        <v>0.35036496350364965</v>
      </c>
      <c r="AF91" s="359">
        <f t="shared" si="116"/>
        <v>6.4285714285714279E-2</v>
      </c>
      <c r="AG91" s="358">
        <f t="shared" si="71"/>
        <v>0.17142857142857143</v>
      </c>
      <c r="AH91" s="359">
        <f t="shared" si="116"/>
        <v>0.1875</v>
      </c>
      <c r="AI91" s="358">
        <f t="shared" si="72"/>
        <v>0.5</v>
      </c>
      <c r="AJ91" s="359">
        <f t="shared" si="116"/>
        <v>9.4240837696335081E-2</v>
      </c>
      <c r="AK91" s="358">
        <f t="shared" si="73"/>
        <v>0.2513089005235602</v>
      </c>
      <c r="AL91" s="359">
        <f t="shared" si="116"/>
        <v>8.5714285714285715E-2</v>
      </c>
      <c r="AM91" s="358">
        <f t="shared" si="74"/>
        <v>0.22857142857142856</v>
      </c>
      <c r="AN91" s="359">
        <f t="shared" si="116"/>
        <v>1.2500000000000001E-2</v>
      </c>
      <c r="AO91" s="358">
        <f t="shared" si="75"/>
        <v>3.3333333333333333E-2</v>
      </c>
      <c r="AP91" s="359">
        <f t="shared" si="116"/>
        <v>0.20689655172413793</v>
      </c>
      <c r="AQ91" s="358">
        <f t="shared" si="76"/>
        <v>0.55172413793103448</v>
      </c>
      <c r="AR91" s="359">
        <f t="shared" si="116"/>
        <v>2.1428571428571429E-2</v>
      </c>
      <c r="AS91" s="358">
        <f t="shared" si="77"/>
        <v>5.7142857142857141E-2</v>
      </c>
      <c r="AT91" s="359">
        <f t="shared" si="116"/>
        <v>9.4736842105263161E-2</v>
      </c>
      <c r="AU91" s="358">
        <f t="shared" si="78"/>
        <v>0.25263157894736843</v>
      </c>
      <c r="AV91" s="359">
        <f t="shared" si="116"/>
        <v>7.4999999999999997E-2</v>
      </c>
      <c r="AW91" s="358">
        <f t="shared" si="79"/>
        <v>0.2</v>
      </c>
      <c r="AX91" s="359">
        <f t="shared" si="116"/>
        <v>1.8749999999999999E-2</v>
      </c>
      <c r="AY91" s="358">
        <f t="shared" si="80"/>
        <v>0.05</v>
      </c>
      <c r="AZ91" s="359">
        <f t="shared" si="116"/>
        <v>1.8749999999999999E-2</v>
      </c>
      <c r="BA91" s="358">
        <f t="shared" si="81"/>
        <v>0.05</v>
      </c>
      <c r="BB91" s="359">
        <f t="shared" si="116"/>
        <v>0.22500000000000001</v>
      </c>
      <c r="BC91" s="358">
        <f t="shared" si="82"/>
        <v>0.6</v>
      </c>
      <c r="BD91" s="359">
        <f t="shared" si="116"/>
        <v>0.12</v>
      </c>
      <c r="BE91" s="358">
        <f t="shared" si="83"/>
        <v>0.32</v>
      </c>
      <c r="BF91" s="359">
        <f t="shared" si="116"/>
        <v>2.8846153846153848E-2</v>
      </c>
      <c r="BG91" s="358">
        <f t="shared" si="84"/>
        <v>7.6923076923076927E-2</v>
      </c>
      <c r="BH91" s="359">
        <f t="shared" si="116"/>
        <v>4.4999999999999997E-3</v>
      </c>
      <c r="BI91" s="358">
        <f t="shared" si="85"/>
        <v>1.2E-2</v>
      </c>
      <c r="BJ91" s="359">
        <f t="shared" si="116"/>
        <v>7.0312500000000002E-3</v>
      </c>
      <c r="BK91" s="358">
        <f t="shared" si="86"/>
        <v>1.8749999999999999E-2</v>
      </c>
      <c r="BL91" s="359">
        <f t="shared" si="116"/>
        <v>2.9508196721311476E-2</v>
      </c>
      <c r="BM91" s="358">
        <f t="shared" si="87"/>
        <v>7.8688524590163941E-2</v>
      </c>
      <c r="BN91" s="359">
        <f t="shared" si="116"/>
        <v>8.4375000000000006E-2</v>
      </c>
      <c r="BO91" s="358">
        <f t="shared" si="88"/>
        <v>0.22500000000000001</v>
      </c>
      <c r="BP91" s="359">
        <f t="shared" si="116"/>
        <v>3.4615384615384617E-2</v>
      </c>
      <c r="BQ91" s="358">
        <f t="shared" si="89"/>
        <v>9.2307692307692313E-2</v>
      </c>
      <c r="BR91" s="359">
        <f t="shared" si="116"/>
        <v>1.9565217391304349E-2</v>
      </c>
      <c r="BS91" s="358">
        <f t="shared" si="90"/>
        <v>5.2173913043478258E-2</v>
      </c>
      <c r="BT91" s="357">
        <f t="shared" si="116"/>
        <v>3.214285714285714E-2</v>
      </c>
      <c r="BU91" s="358">
        <f t="shared" si="91"/>
        <v>8.5714285714285715E-2</v>
      </c>
      <c r="BV91" s="359">
        <f t="shared" si="116"/>
        <v>1.3432835820895522E-2</v>
      </c>
      <c r="BW91" s="358">
        <f t="shared" si="92"/>
        <v>3.5820895522388062E-2</v>
      </c>
      <c r="BX91" s="359">
        <f t="shared" si="116"/>
        <v>1.0546875000000001E-2</v>
      </c>
      <c r="BY91" s="358">
        <f t="shared" si="93"/>
        <v>2.8125000000000001E-2</v>
      </c>
      <c r="BZ91" s="357">
        <f t="shared" si="116"/>
        <v>0.1125</v>
      </c>
      <c r="CA91" s="358">
        <f t="shared" si="94"/>
        <v>0.3</v>
      </c>
      <c r="CB91" s="359">
        <f t="shared" si="116"/>
        <v>3.8028169014084505E-2</v>
      </c>
      <c r="CC91" s="358">
        <f t="shared" si="95"/>
        <v>0.10140845070422536</v>
      </c>
      <c r="CD91" s="359">
        <f t="shared" si="116"/>
        <v>1.3235294117647058E-3</v>
      </c>
      <c r="CE91" s="358">
        <f t="shared" si="96"/>
        <v>3.5294117647058825E-3</v>
      </c>
      <c r="CF91" s="359">
        <f t="shared" si="116"/>
        <v>0.09</v>
      </c>
      <c r="CG91" s="358">
        <f t="shared" si="97"/>
        <v>0.24</v>
      </c>
      <c r="CH91" s="357">
        <f t="shared" si="116"/>
        <v>9.2783505154639179E-2</v>
      </c>
      <c r="CI91" s="358">
        <f t="shared" si="98"/>
        <v>0.24742268041237114</v>
      </c>
      <c r="CJ91" s="359">
        <f t="shared" si="116"/>
        <v>0.32142857142857145</v>
      </c>
      <c r="CK91" s="358">
        <f t="shared" si="99"/>
        <v>0.8571428571428571</v>
      </c>
      <c r="CL91" s="359">
        <f t="shared" si="116"/>
        <v>1.125E-2</v>
      </c>
      <c r="CM91" s="358">
        <f t="shared" si="100"/>
        <v>0.03</v>
      </c>
      <c r="CN91" s="357">
        <f t="shared" si="116"/>
        <v>8.5714285714285719E-3</v>
      </c>
      <c r="CO91" s="358">
        <f t="shared" si="101"/>
        <v>2.2857142857142857E-2</v>
      </c>
      <c r="CP91" s="359">
        <f t="shared" si="116"/>
        <v>1.125</v>
      </c>
      <c r="CQ91" s="358">
        <f t="shared" si="102"/>
        <v>3</v>
      </c>
      <c r="CR91" s="359">
        <f t="shared" si="116"/>
        <v>8.9999999999999998E-4</v>
      </c>
      <c r="CS91" s="366">
        <f t="shared" si="103"/>
        <v>2.3999999999999998E-3</v>
      </c>
    </row>
    <row r="92" spans="1:97" s="25" customFormat="1">
      <c r="A92" s="339" t="s">
        <v>203</v>
      </c>
      <c r="B92" s="238">
        <v>40</v>
      </c>
      <c r="C92" s="238">
        <v>50</v>
      </c>
      <c r="D92" s="344">
        <f>ROUNDDOWN(B92*(1+$D$53*0.1),0)</f>
        <v>120</v>
      </c>
      <c r="E92" s="345">
        <f t="shared" si="104"/>
        <v>135</v>
      </c>
      <c r="F92" s="347">
        <f>C92*(1+$D$53*0.1)</f>
        <v>150</v>
      </c>
      <c r="H92" s="357">
        <f t="shared" si="105"/>
        <v>8</v>
      </c>
      <c r="I92" s="358">
        <f t="shared" si="106"/>
        <v>10</v>
      </c>
      <c r="J92" s="359">
        <f t="shared" si="105"/>
        <v>8</v>
      </c>
      <c r="K92" s="358">
        <f t="shared" si="106"/>
        <v>10</v>
      </c>
      <c r="L92" s="359">
        <f t="shared" si="59"/>
        <v>2.4</v>
      </c>
      <c r="M92" s="358">
        <f t="shared" si="60"/>
        <v>3</v>
      </c>
      <c r="N92" s="359">
        <f t="shared" si="107"/>
        <v>12</v>
      </c>
      <c r="O92" s="358">
        <f t="shared" si="62"/>
        <v>15</v>
      </c>
      <c r="P92" s="359">
        <f t="shared" si="108"/>
        <v>1</v>
      </c>
      <c r="Q92" s="358">
        <f t="shared" si="63"/>
        <v>1.25</v>
      </c>
      <c r="R92" s="359">
        <f t="shared" ref="R92:CR92" si="117">R67/R$80</f>
        <v>0.92307692307692313</v>
      </c>
      <c r="S92" s="358">
        <f t="shared" si="64"/>
        <v>1.1538461538461537</v>
      </c>
      <c r="T92" s="359">
        <f t="shared" si="117"/>
        <v>2.4</v>
      </c>
      <c r="U92" s="358">
        <f t="shared" si="65"/>
        <v>3</v>
      </c>
      <c r="V92" s="359">
        <f t="shared" si="117"/>
        <v>0.8</v>
      </c>
      <c r="W92" s="358">
        <f t="shared" si="66"/>
        <v>1</v>
      </c>
      <c r="X92" s="359">
        <f t="shared" si="117"/>
        <v>1.0909090909090908</v>
      </c>
      <c r="Y92" s="358">
        <f t="shared" si="67"/>
        <v>1.3636363636363635</v>
      </c>
      <c r="Z92" s="359">
        <f t="shared" si="117"/>
        <v>0.13333333333333333</v>
      </c>
      <c r="AA92" s="358">
        <f t="shared" si="68"/>
        <v>0.16666666666666666</v>
      </c>
      <c r="AB92" s="359">
        <f t="shared" si="117"/>
        <v>3.0000000000000001E-3</v>
      </c>
      <c r="AC92" s="358">
        <f t="shared" si="69"/>
        <v>3.7499999999999999E-3</v>
      </c>
      <c r="AD92" s="359">
        <f t="shared" si="117"/>
        <v>0.52554744525547448</v>
      </c>
      <c r="AE92" s="358">
        <f t="shared" si="70"/>
        <v>0.65693430656934304</v>
      </c>
      <c r="AF92" s="359">
        <f t="shared" si="117"/>
        <v>8.5714285714285715E-2</v>
      </c>
      <c r="AG92" s="358">
        <f t="shared" si="71"/>
        <v>0.10714285714285714</v>
      </c>
      <c r="AH92" s="359">
        <f t="shared" si="117"/>
        <v>1</v>
      </c>
      <c r="AI92" s="358">
        <f t="shared" si="72"/>
        <v>1.25</v>
      </c>
      <c r="AJ92" s="359">
        <f t="shared" si="117"/>
        <v>0.1256544502617801</v>
      </c>
      <c r="AK92" s="358">
        <f t="shared" si="73"/>
        <v>0.15706806282722513</v>
      </c>
      <c r="AL92" s="359">
        <f t="shared" si="117"/>
        <v>0.11428571428571428</v>
      </c>
      <c r="AM92" s="358">
        <f t="shared" si="74"/>
        <v>0.14285714285714285</v>
      </c>
      <c r="AN92" s="359">
        <f t="shared" si="117"/>
        <v>0.05</v>
      </c>
      <c r="AO92" s="358">
        <f t="shared" si="75"/>
        <v>6.25E-2</v>
      </c>
      <c r="AP92" s="359">
        <f t="shared" si="117"/>
        <v>2.2988505747126436E-2</v>
      </c>
      <c r="AQ92" s="358">
        <f t="shared" si="76"/>
        <v>2.8735632183908046E-2</v>
      </c>
      <c r="AR92" s="359">
        <f t="shared" si="117"/>
        <v>2.8571428571428571E-2</v>
      </c>
      <c r="AS92" s="358">
        <f t="shared" si="77"/>
        <v>3.5714285714285712E-2</v>
      </c>
      <c r="AT92" s="359">
        <f t="shared" si="117"/>
        <v>0.12631578947368421</v>
      </c>
      <c r="AU92" s="358">
        <f t="shared" si="78"/>
        <v>0.15789473684210525</v>
      </c>
      <c r="AV92" s="359">
        <f t="shared" si="117"/>
        <v>0.3</v>
      </c>
      <c r="AW92" s="358">
        <f t="shared" si="79"/>
        <v>0.375</v>
      </c>
      <c r="AX92" s="359">
        <f t="shared" si="117"/>
        <v>0.1</v>
      </c>
      <c r="AY92" s="358">
        <f t="shared" si="80"/>
        <v>0.125</v>
      </c>
      <c r="AZ92" s="359">
        <f t="shared" si="117"/>
        <v>2.5000000000000001E-2</v>
      </c>
      <c r="BA92" s="358">
        <f t="shared" si="81"/>
        <v>3.125E-2</v>
      </c>
      <c r="BB92" s="359">
        <f t="shared" si="117"/>
        <v>2.5000000000000001E-2</v>
      </c>
      <c r="BC92" s="358">
        <f t="shared" si="82"/>
        <v>3.125E-2</v>
      </c>
      <c r="BD92" s="359">
        <f t="shared" si="117"/>
        <v>0.16</v>
      </c>
      <c r="BE92" s="358">
        <f t="shared" si="83"/>
        <v>0.2</v>
      </c>
      <c r="BF92" s="359">
        <f t="shared" si="117"/>
        <v>3.8461538461538464E-2</v>
      </c>
      <c r="BG92" s="358">
        <f t="shared" si="84"/>
        <v>4.807692307692308E-2</v>
      </c>
      <c r="BH92" s="359">
        <f t="shared" si="117"/>
        <v>2.4E-2</v>
      </c>
      <c r="BI92" s="358">
        <f t="shared" si="85"/>
        <v>0.03</v>
      </c>
      <c r="BJ92" s="359">
        <f t="shared" si="117"/>
        <v>9.3749999999999997E-3</v>
      </c>
      <c r="BK92" s="358">
        <f t="shared" si="86"/>
        <v>1.171875E-2</v>
      </c>
      <c r="BL92" s="359">
        <f t="shared" si="117"/>
        <v>3.9344262295081971E-2</v>
      </c>
      <c r="BM92" s="358">
        <f t="shared" si="87"/>
        <v>4.9180327868852458E-2</v>
      </c>
      <c r="BN92" s="359">
        <f t="shared" si="117"/>
        <v>9.3749999999999997E-3</v>
      </c>
      <c r="BO92" s="358">
        <f t="shared" si="88"/>
        <v>1.171875E-2</v>
      </c>
      <c r="BP92" s="359">
        <f t="shared" si="117"/>
        <v>4.6153846153846156E-2</v>
      </c>
      <c r="BQ92" s="358">
        <f t="shared" si="89"/>
        <v>5.7692307692307696E-2</v>
      </c>
      <c r="BR92" s="359">
        <f t="shared" si="117"/>
        <v>2.6086956521739129E-2</v>
      </c>
      <c r="BS92" s="358">
        <f t="shared" si="90"/>
        <v>3.2608695652173912E-2</v>
      </c>
      <c r="BT92" s="357">
        <f t="shared" si="117"/>
        <v>4.2857142857142858E-2</v>
      </c>
      <c r="BU92" s="358">
        <f t="shared" si="91"/>
        <v>5.3571428571428568E-2</v>
      </c>
      <c r="BV92" s="359">
        <f t="shared" si="117"/>
        <v>1.7910447761194031E-2</v>
      </c>
      <c r="BW92" s="358">
        <f t="shared" si="92"/>
        <v>2.2388059701492536E-2</v>
      </c>
      <c r="BX92" s="359">
        <f t="shared" si="117"/>
        <v>4.6874999999999998E-3</v>
      </c>
      <c r="BY92" s="358">
        <f t="shared" si="93"/>
        <v>5.859375E-3</v>
      </c>
      <c r="BZ92" s="357">
        <f t="shared" si="117"/>
        <v>0.45</v>
      </c>
      <c r="CA92" s="358">
        <f t="shared" si="94"/>
        <v>0.5625</v>
      </c>
      <c r="CB92" s="359">
        <f t="shared" si="117"/>
        <v>4.2253521126760559E-3</v>
      </c>
      <c r="CC92" s="358">
        <f t="shared" si="95"/>
        <v>5.2816901408450703E-3</v>
      </c>
      <c r="CD92" s="359">
        <f t="shared" si="117"/>
        <v>1.7647058823529412E-3</v>
      </c>
      <c r="CE92" s="358">
        <f t="shared" si="96"/>
        <v>2.2058823529411764E-3</v>
      </c>
      <c r="CF92" s="359">
        <f t="shared" si="117"/>
        <v>0.12</v>
      </c>
      <c r="CG92" s="358">
        <f t="shared" si="97"/>
        <v>0.15</v>
      </c>
      <c r="CH92" s="357">
        <f t="shared" si="117"/>
        <v>0.37113402061855671</v>
      </c>
      <c r="CI92" s="358">
        <f t="shared" si="98"/>
        <v>0.46391752577319589</v>
      </c>
      <c r="CJ92" s="359">
        <f t="shared" si="117"/>
        <v>3.5714285714285712E-2</v>
      </c>
      <c r="CK92" s="358">
        <f t="shared" si="99"/>
        <v>4.4642857142857144E-2</v>
      </c>
      <c r="CL92" s="359">
        <f t="shared" si="117"/>
        <v>1.4999999999999999E-2</v>
      </c>
      <c r="CM92" s="358">
        <f t="shared" si="100"/>
        <v>1.8749999999999999E-2</v>
      </c>
      <c r="CN92" s="357">
        <f t="shared" si="117"/>
        <v>1.1428571428571429E-2</v>
      </c>
      <c r="CO92" s="358">
        <f t="shared" si="101"/>
        <v>1.4285714285714285E-2</v>
      </c>
      <c r="CP92" s="359">
        <f t="shared" si="117"/>
        <v>1.5</v>
      </c>
      <c r="CQ92" s="358">
        <f t="shared" si="102"/>
        <v>1.875</v>
      </c>
      <c r="CR92" s="359">
        <f t="shared" si="117"/>
        <v>1.1999999999999999E-3</v>
      </c>
      <c r="CS92" s="366">
        <f t="shared" si="103"/>
        <v>1.5E-3</v>
      </c>
    </row>
    <row r="93" spans="1:97" s="25" customFormat="1">
      <c r="A93" s="340" t="s">
        <v>190</v>
      </c>
      <c r="B93" s="238">
        <v>30</v>
      </c>
      <c r="C93" s="238">
        <v>70</v>
      </c>
      <c r="D93" s="344">
        <f t="shared" ref="D93:D95" si="118">ROUNDDOWN(B93*(1+$D$53*0.1),0)</f>
        <v>90</v>
      </c>
      <c r="E93" s="345">
        <f t="shared" si="104"/>
        <v>150</v>
      </c>
      <c r="F93" s="347">
        <f t="shared" ref="F93:F95" si="119">C93*(1+$D$53*0.1)</f>
        <v>210</v>
      </c>
      <c r="H93" s="357">
        <f t="shared" si="105"/>
        <v>6</v>
      </c>
      <c r="I93" s="358">
        <f t="shared" si="106"/>
        <v>14</v>
      </c>
      <c r="J93" s="359">
        <f t="shared" si="105"/>
        <v>6</v>
      </c>
      <c r="K93" s="358">
        <f t="shared" si="106"/>
        <v>14</v>
      </c>
      <c r="L93" s="359">
        <f t="shared" si="59"/>
        <v>1.8</v>
      </c>
      <c r="M93" s="358">
        <f t="shared" si="60"/>
        <v>4.2</v>
      </c>
      <c r="N93" s="359">
        <f t="shared" si="107"/>
        <v>9</v>
      </c>
      <c r="O93" s="358">
        <f t="shared" si="62"/>
        <v>21</v>
      </c>
      <c r="P93" s="359">
        <f t="shared" si="108"/>
        <v>0.75</v>
      </c>
      <c r="Q93" s="358">
        <f t="shared" si="63"/>
        <v>1.75</v>
      </c>
      <c r="R93" s="359">
        <f t="shared" ref="R93:CR93" si="120">R68/R$80</f>
        <v>0.69230769230769229</v>
      </c>
      <c r="S93" s="358">
        <f t="shared" si="64"/>
        <v>1.6153846153846154</v>
      </c>
      <c r="T93" s="359">
        <f t="shared" si="120"/>
        <v>1.8</v>
      </c>
      <c r="U93" s="358">
        <f t="shared" si="65"/>
        <v>4.2</v>
      </c>
      <c r="V93" s="359">
        <f t="shared" si="120"/>
        <v>0.6</v>
      </c>
      <c r="W93" s="358">
        <f t="shared" si="66"/>
        <v>1.4</v>
      </c>
      <c r="X93" s="359">
        <f t="shared" si="120"/>
        <v>0.81818181818181823</v>
      </c>
      <c r="Y93" s="358">
        <f t="shared" si="67"/>
        <v>1.9090909090909092</v>
      </c>
      <c r="Z93" s="359">
        <f t="shared" si="120"/>
        <v>0.1</v>
      </c>
      <c r="AA93" s="358">
        <f t="shared" si="68"/>
        <v>0.23333333333333334</v>
      </c>
      <c r="AB93" s="359">
        <f t="shared" si="120"/>
        <v>2.7E-2</v>
      </c>
      <c r="AC93" s="358">
        <f t="shared" si="69"/>
        <v>6.3E-2</v>
      </c>
      <c r="AD93" s="359">
        <f t="shared" si="120"/>
        <v>3.2846715328467155E-2</v>
      </c>
      <c r="AE93" s="358">
        <f t="shared" si="70"/>
        <v>7.6642335766423361E-2</v>
      </c>
      <c r="AF93" s="359">
        <f t="shared" si="120"/>
        <v>6.4285714285714279E-2</v>
      </c>
      <c r="AG93" s="358">
        <f t="shared" si="71"/>
        <v>0.15</v>
      </c>
      <c r="AH93" s="359">
        <f t="shared" si="120"/>
        <v>0.1875</v>
      </c>
      <c r="AI93" s="358">
        <f t="shared" si="72"/>
        <v>0.4375</v>
      </c>
      <c r="AJ93" s="359">
        <f t="shared" si="120"/>
        <v>9.4240837696335081E-2</v>
      </c>
      <c r="AK93" s="358">
        <f t="shared" si="73"/>
        <v>0.21989528795811519</v>
      </c>
      <c r="AL93" s="359">
        <f t="shared" si="120"/>
        <v>8.5714285714285715E-2</v>
      </c>
      <c r="AM93" s="358">
        <f t="shared" si="74"/>
        <v>0.2</v>
      </c>
      <c r="AN93" s="359">
        <f t="shared" si="120"/>
        <v>3.7499999999999999E-2</v>
      </c>
      <c r="AO93" s="358">
        <f t="shared" si="75"/>
        <v>8.7499999999999994E-2</v>
      </c>
      <c r="AP93" s="359">
        <f t="shared" si="120"/>
        <v>6.8965517241379309E-2</v>
      </c>
      <c r="AQ93" s="358">
        <f t="shared" si="76"/>
        <v>0.16091954022988506</v>
      </c>
      <c r="AR93" s="359">
        <f t="shared" si="120"/>
        <v>0.25714285714285712</v>
      </c>
      <c r="AS93" s="358">
        <f t="shared" si="77"/>
        <v>0.6</v>
      </c>
      <c r="AT93" s="359">
        <f t="shared" si="120"/>
        <v>9.4736842105263161E-2</v>
      </c>
      <c r="AU93" s="358">
        <f t="shared" si="78"/>
        <v>0.22105263157894736</v>
      </c>
      <c r="AV93" s="359">
        <f t="shared" si="120"/>
        <v>1.8749999999999999E-2</v>
      </c>
      <c r="AW93" s="358">
        <f t="shared" si="79"/>
        <v>4.3749999999999997E-2</v>
      </c>
      <c r="AX93" s="359">
        <f t="shared" si="120"/>
        <v>1.8749999999999999E-2</v>
      </c>
      <c r="AY93" s="358">
        <f t="shared" si="80"/>
        <v>4.3749999999999997E-2</v>
      </c>
      <c r="AZ93" s="359">
        <f t="shared" si="120"/>
        <v>0.22500000000000001</v>
      </c>
      <c r="BA93" s="358">
        <f t="shared" si="81"/>
        <v>0.52500000000000002</v>
      </c>
      <c r="BB93" s="359">
        <f t="shared" si="120"/>
        <v>7.4999999999999997E-2</v>
      </c>
      <c r="BC93" s="358">
        <f t="shared" si="82"/>
        <v>0.17499999999999999</v>
      </c>
      <c r="BD93" s="359">
        <f t="shared" si="120"/>
        <v>0.12</v>
      </c>
      <c r="BE93" s="358">
        <f t="shared" si="83"/>
        <v>0.28000000000000003</v>
      </c>
      <c r="BF93" s="359">
        <f t="shared" si="120"/>
        <v>0.34615384615384615</v>
      </c>
      <c r="BG93" s="358">
        <f t="shared" si="84"/>
        <v>0.80769230769230771</v>
      </c>
      <c r="BH93" s="359">
        <f t="shared" si="120"/>
        <v>4.4999999999999997E-3</v>
      </c>
      <c r="BI93" s="358">
        <f t="shared" si="85"/>
        <v>1.0500000000000001E-2</v>
      </c>
      <c r="BJ93" s="359">
        <f t="shared" si="120"/>
        <v>8.4375000000000006E-2</v>
      </c>
      <c r="BK93" s="358">
        <f t="shared" si="86"/>
        <v>0.19687499999999999</v>
      </c>
      <c r="BL93" s="359">
        <f t="shared" si="120"/>
        <v>2.9508196721311476E-2</v>
      </c>
      <c r="BM93" s="358">
        <f t="shared" si="87"/>
        <v>6.8852459016393447E-2</v>
      </c>
      <c r="BN93" s="359">
        <f t="shared" si="120"/>
        <v>2.8125000000000001E-2</v>
      </c>
      <c r="BO93" s="358">
        <f t="shared" si="88"/>
        <v>6.5625000000000003E-2</v>
      </c>
      <c r="BP93" s="359">
        <f t="shared" si="120"/>
        <v>3.4615384615384617E-2</v>
      </c>
      <c r="BQ93" s="358">
        <f t="shared" si="89"/>
        <v>8.0769230769230774E-2</v>
      </c>
      <c r="BR93" s="359">
        <f t="shared" si="120"/>
        <v>1.9565217391304349E-2</v>
      </c>
      <c r="BS93" s="358">
        <f t="shared" si="90"/>
        <v>4.5652173913043478E-2</v>
      </c>
      <c r="BT93" s="357">
        <f t="shared" si="120"/>
        <v>3.214285714285714E-2</v>
      </c>
      <c r="BU93" s="358">
        <f t="shared" si="91"/>
        <v>7.4999999999999997E-2</v>
      </c>
      <c r="BV93" s="359">
        <f t="shared" si="120"/>
        <v>1.3432835820895522E-2</v>
      </c>
      <c r="BW93" s="358">
        <f t="shared" si="92"/>
        <v>3.134328358208955E-2</v>
      </c>
      <c r="BX93" s="359">
        <f t="shared" si="120"/>
        <v>3.5156250000000001E-3</v>
      </c>
      <c r="BY93" s="358">
        <f t="shared" si="93"/>
        <v>8.2031250000000003E-3</v>
      </c>
      <c r="BZ93" s="357">
        <f t="shared" si="120"/>
        <v>2.8125000000000001E-2</v>
      </c>
      <c r="CA93" s="358">
        <f t="shared" si="94"/>
        <v>6.5625000000000003E-2</v>
      </c>
      <c r="CB93" s="359">
        <f t="shared" si="120"/>
        <v>1.2676056338028169E-2</v>
      </c>
      <c r="CC93" s="358">
        <f t="shared" si="95"/>
        <v>2.9577464788732393E-2</v>
      </c>
      <c r="CD93" s="359">
        <f t="shared" si="120"/>
        <v>1.5882352941176469E-2</v>
      </c>
      <c r="CE93" s="358">
        <f t="shared" si="96"/>
        <v>3.7058823529411762E-2</v>
      </c>
      <c r="CF93" s="359">
        <f t="shared" si="120"/>
        <v>0.09</v>
      </c>
      <c r="CG93" s="358">
        <f t="shared" si="97"/>
        <v>0.21</v>
      </c>
      <c r="CH93" s="357">
        <f t="shared" si="120"/>
        <v>2.3195876288659795E-2</v>
      </c>
      <c r="CI93" s="358">
        <f t="shared" si="98"/>
        <v>5.4123711340206188E-2</v>
      </c>
      <c r="CJ93" s="359">
        <f t="shared" si="120"/>
        <v>0.10714285714285714</v>
      </c>
      <c r="CK93" s="358">
        <f t="shared" si="99"/>
        <v>0.25</v>
      </c>
      <c r="CL93" s="359">
        <f t="shared" si="120"/>
        <v>0.13500000000000001</v>
      </c>
      <c r="CM93" s="358">
        <f t="shared" si="100"/>
        <v>0.315</v>
      </c>
      <c r="CN93" s="357">
        <f t="shared" si="120"/>
        <v>8.5714285714285719E-3</v>
      </c>
      <c r="CO93" s="358">
        <f t="shared" si="101"/>
        <v>0.02</v>
      </c>
      <c r="CP93" s="359">
        <f t="shared" si="120"/>
        <v>1.125</v>
      </c>
      <c r="CQ93" s="358">
        <f t="shared" si="102"/>
        <v>2.625</v>
      </c>
      <c r="CR93" s="359">
        <f t="shared" si="120"/>
        <v>8.9999999999999998E-4</v>
      </c>
      <c r="CS93" s="366">
        <f t="shared" si="103"/>
        <v>2.0999999999999999E-3</v>
      </c>
    </row>
    <row r="94" spans="1:97" s="25" customFormat="1">
      <c r="A94" s="107" t="s">
        <v>512</v>
      </c>
      <c r="B94" s="238">
        <v>40</v>
      </c>
      <c r="C94" s="238">
        <v>60</v>
      </c>
      <c r="D94" s="344">
        <f t="shared" si="118"/>
        <v>120</v>
      </c>
      <c r="E94" s="345">
        <f t="shared" si="104"/>
        <v>150</v>
      </c>
      <c r="F94" s="347">
        <f t="shared" si="119"/>
        <v>180</v>
      </c>
      <c r="H94" s="357">
        <f t="shared" si="105"/>
        <v>8</v>
      </c>
      <c r="I94" s="358">
        <f t="shared" si="106"/>
        <v>12</v>
      </c>
      <c r="J94" s="359">
        <f t="shared" si="105"/>
        <v>8</v>
      </c>
      <c r="K94" s="358">
        <f t="shared" si="106"/>
        <v>12</v>
      </c>
      <c r="L94" s="359">
        <f t="shared" si="59"/>
        <v>2.4</v>
      </c>
      <c r="M94" s="358">
        <f t="shared" si="60"/>
        <v>3.6</v>
      </c>
      <c r="N94" s="359">
        <f t="shared" si="107"/>
        <v>12</v>
      </c>
      <c r="O94" s="358">
        <f t="shared" si="62"/>
        <v>18</v>
      </c>
      <c r="P94" s="359">
        <f t="shared" si="108"/>
        <v>1</v>
      </c>
      <c r="Q94" s="358">
        <f t="shared" si="63"/>
        <v>1.5</v>
      </c>
      <c r="R94" s="359">
        <f t="shared" ref="R94:CR94" si="121">R69/R$80</f>
        <v>0.92307692307692313</v>
      </c>
      <c r="S94" s="358">
        <f t="shared" si="64"/>
        <v>1.3846153846153846</v>
      </c>
      <c r="T94" s="359">
        <f t="shared" si="121"/>
        <v>2.4</v>
      </c>
      <c r="U94" s="358">
        <f t="shared" si="65"/>
        <v>3.6</v>
      </c>
      <c r="V94" s="359">
        <f t="shared" si="121"/>
        <v>0.8</v>
      </c>
      <c r="W94" s="358">
        <f t="shared" si="66"/>
        <v>1.2</v>
      </c>
      <c r="X94" s="359">
        <f t="shared" si="121"/>
        <v>1.0909090909090908</v>
      </c>
      <c r="Y94" s="358">
        <f t="shared" si="67"/>
        <v>1.6363636363636365</v>
      </c>
      <c r="Z94" s="359">
        <f t="shared" si="121"/>
        <v>0.13333333333333333</v>
      </c>
      <c r="AA94" s="358">
        <f t="shared" si="68"/>
        <v>0.2</v>
      </c>
      <c r="AB94" s="359">
        <f t="shared" si="121"/>
        <v>1.2E-2</v>
      </c>
      <c r="AC94" s="358">
        <f t="shared" si="69"/>
        <v>1.7999999999999999E-2</v>
      </c>
      <c r="AD94" s="359">
        <f t="shared" si="121"/>
        <v>4.3795620437956206E-2</v>
      </c>
      <c r="AE94" s="358">
        <f t="shared" si="70"/>
        <v>6.569343065693431E-2</v>
      </c>
      <c r="AF94" s="359">
        <f t="shared" si="121"/>
        <v>8.5714285714285715E-2</v>
      </c>
      <c r="AG94" s="358">
        <f t="shared" si="71"/>
        <v>0.12857142857142856</v>
      </c>
      <c r="AH94" s="359">
        <f t="shared" si="121"/>
        <v>3</v>
      </c>
      <c r="AI94" s="358">
        <f t="shared" si="72"/>
        <v>4.5</v>
      </c>
      <c r="AJ94" s="359">
        <f t="shared" si="121"/>
        <v>0.1256544502617801</v>
      </c>
      <c r="AK94" s="358">
        <f t="shared" si="73"/>
        <v>0.18848167539267016</v>
      </c>
      <c r="AL94" s="359">
        <f t="shared" si="121"/>
        <v>0.11428571428571428</v>
      </c>
      <c r="AM94" s="358">
        <f t="shared" si="74"/>
        <v>0.17142857142857143</v>
      </c>
      <c r="AN94" s="359">
        <f t="shared" si="121"/>
        <v>1.6666666666666666E-2</v>
      </c>
      <c r="AO94" s="358">
        <f t="shared" si="75"/>
        <v>2.5000000000000001E-2</v>
      </c>
      <c r="AP94" s="359">
        <f t="shared" si="121"/>
        <v>2.2988505747126436E-2</v>
      </c>
      <c r="AQ94" s="358">
        <f t="shared" si="76"/>
        <v>3.4482758620689655E-2</v>
      </c>
      <c r="AR94" s="359">
        <f t="shared" si="121"/>
        <v>0.11428571428571428</v>
      </c>
      <c r="AS94" s="358">
        <f t="shared" si="77"/>
        <v>0.17142857142857143</v>
      </c>
      <c r="AT94" s="359">
        <f t="shared" si="121"/>
        <v>0.12631578947368421</v>
      </c>
      <c r="AU94" s="358">
        <f t="shared" si="78"/>
        <v>0.18947368421052632</v>
      </c>
      <c r="AV94" s="359">
        <f t="shared" si="121"/>
        <v>2.5000000000000001E-2</v>
      </c>
      <c r="AW94" s="358">
        <f t="shared" si="79"/>
        <v>3.7499999999999999E-2</v>
      </c>
      <c r="AX94" s="359">
        <f t="shared" si="121"/>
        <v>0.3</v>
      </c>
      <c r="AY94" s="358">
        <f t="shared" si="80"/>
        <v>0.45</v>
      </c>
      <c r="AZ94" s="359">
        <f t="shared" si="121"/>
        <v>0.1</v>
      </c>
      <c r="BA94" s="358">
        <f t="shared" si="81"/>
        <v>0.15</v>
      </c>
      <c r="BB94" s="359">
        <f t="shared" si="121"/>
        <v>2.5000000000000001E-2</v>
      </c>
      <c r="BC94" s="358">
        <f t="shared" si="82"/>
        <v>3.7499999999999999E-2</v>
      </c>
      <c r="BD94" s="359">
        <f t="shared" si="121"/>
        <v>0.16</v>
      </c>
      <c r="BE94" s="358">
        <f t="shared" si="83"/>
        <v>0.24</v>
      </c>
      <c r="BF94" s="359">
        <f t="shared" si="121"/>
        <v>0.15384615384615385</v>
      </c>
      <c r="BG94" s="358">
        <f t="shared" si="84"/>
        <v>0.23076923076923078</v>
      </c>
      <c r="BH94" s="359">
        <f t="shared" si="121"/>
        <v>7.1999999999999995E-2</v>
      </c>
      <c r="BI94" s="358">
        <f t="shared" si="85"/>
        <v>0.108</v>
      </c>
      <c r="BJ94" s="359">
        <f t="shared" si="121"/>
        <v>3.7499999999999999E-2</v>
      </c>
      <c r="BK94" s="358">
        <f t="shared" si="86"/>
        <v>5.6250000000000001E-2</v>
      </c>
      <c r="BL94" s="359">
        <f t="shared" si="121"/>
        <v>3.9344262295081971E-2</v>
      </c>
      <c r="BM94" s="358">
        <f t="shared" si="87"/>
        <v>5.9016393442622953E-2</v>
      </c>
      <c r="BN94" s="359">
        <f t="shared" si="121"/>
        <v>9.3749999999999997E-3</v>
      </c>
      <c r="BO94" s="358">
        <f t="shared" si="88"/>
        <v>1.40625E-2</v>
      </c>
      <c r="BP94" s="359">
        <f t="shared" si="121"/>
        <v>4.6153846153846156E-2</v>
      </c>
      <c r="BQ94" s="358">
        <f t="shared" si="89"/>
        <v>6.9230769230769235E-2</v>
      </c>
      <c r="BR94" s="359">
        <f t="shared" si="121"/>
        <v>2.6086956521739129E-2</v>
      </c>
      <c r="BS94" s="358">
        <f t="shared" si="90"/>
        <v>3.9130434782608699E-2</v>
      </c>
      <c r="BT94" s="357">
        <f t="shared" si="121"/>
        <v>4.2857142857142858E-2</v>
      </c>
      <c r="BU94" s="358">
        <f t="shared" si="91"/>
        <v>6.4285714285714279E-2</v>
      </c>
      <c r="BV94" s="359">
        <f t="shared" si="121"/>
        <v>1.7910447761194031E-2</v>
      </c>
      <c r="BW94" s="358">
        <f t="shared" si="92"/>
        <v>2.6865671641791045E-2</v>
      </c>
      <c r="BX94" s="359">
        <f t="shared" si="121"/>
        <v>1.40625E-2</v>
      </c>
      <c r="BY94" s="358">
        <f t="shared" si="93"/>
        <v>2.1093750000000001E-2</v>
      </c>
      <c r="BZ94" s="357">
        <f t="shared" si="121"/>
        <v>3.7499999999999999E-2</v>
      </c>
      <c r="CA94" s="358">
        <f t="shared" si="94"/>
        <v>5.6250000000000001E-2</v>
      </c>
      <c r="CB94" s="359">
        <f t="shared" si="121"/>
        <v>4.2253521126760559E-3</v>
      </c>
      <c r="CC94" s="358">
        <f t="shared" si="95"/>
        <v>6.3380281690140847E-3</v>
      </c>
      <c r="CD94" s="359">
        <f t="shared" si="121"/>
        <v>7.058823529411765E-3</v>
      </c>
      <c r="CE94" s="358">
        <f t="shared" si="96"/>
        <v>1.0588235294117647E-2</v>
      </c>
      <c r="CF94" s="359">
        <f t="shared" si="121"/>
        <v>0.12</v>
      </c>
      <c r="CG94" s="358">
        <f t="shared" si="97"/>
        <v>0.18</v>
      </c>
      <c r="CH94" s="357">
        <f t="shared" si="121"/>
        <v>3.0927835051546393E-2</v>
      </c>
      <c r="CI94" s="358">
        <f t="shared" si="98"/>
        <v>4.6391752577319589E-2</v>
      </c>
      <c r="CJ94" s="359">
        <f t="shared" si="121"/>
        <v>3.5714285714285712E-2</v>
      </c>
      <c r="CK94" s="358">
        <f t="shared" si="99"/>
        <v>5.3571428571428568E-2</v>
      </c>
      <c r="CL94" s="359">
        <f t="shared" si="121"/>
        <v>0.06</v>
      </c>
      <c r="CM94" s="358">
        <f t="shared" si="100"/>
        <v>0.09</v>
      </c>
      <c r="CN94" s="357">
        <f t="shared" si="121"/>
        <v>1.1428571428571429E-2</v>
      </c>
      <c r="CO94" s="358">
        <f t="shared" si="101"/>
        <v>1.7142857142857144E-2</v>
      </c>
      <c r="CP94" s="359">
        <f t="shared" si="121"/>
        <v>1.5</v>
      </c>
      <c r="CQ94" s="358">
        <f t="shared" si="102"/>
        <v>2.25</v>
      </c>
      <c r="CR94" s="359">
        <f t="shared" si="121"/>
        <v>1.1999999999999999E-3</v>
      </c>
      <c r="CS94" s="366">
        <f t="shared" si="103"/>
        <v>1.8E-3</v>
      </c>
    </row>
    <row r="95" spans="1:97" s="25" customFormat="1">
      <c r="A95" s="25" t="s">
        <v>125</v>
      </c>
      <c r="B95" s="238">
        <v>50</v>
      </c>
      <c r="C95" s="238">
        <v>60</v>
      </c>
      <c r="D95" s="344">
        <f t="shared" si="118"/>
        <v>150</v>
      </c>
      <c r="E95" s="345">
        <f t="shared" si="104"/>
        <v>165</v>
      </c>
      <c r="F95" s="347">
        <f t="shared" si="119"/>
        <v>180</v>
      </c>
      <c r="H95" s="357">
        <f t="shared" si="105"/>
        <v>10</v>
      </c>
      <c r="I95" s="358">
        <f t="shared" si="106"/>
        <v>12</v>
      </c>
      <c r="J95" s="359">
        <f t="shared" si="105"/>
        <v>10</v>
      </c>
      <c r="K95" s="358">
        <f t="shared" si="106"/>
        <v>12</v>
      </c>
      <c r="L95" s="359">
        <f t="shared" si="59"/>
        <v>3</v>
      </c>
      <c r="M95" s="358">
        <f t="shared" si="60"/>
        <v>3.6</v>
      </c>
      <c r="N95" s="359">
        <f t="shared" si="107"/>
        <v>15</v>
      </c>
      <c r="O95" s="358">
        <f t="shared" si="62"/>
        <v>18</v>
      </c>
      <c r="P95" s="359">
        <f t="shared" si="108"/>
        <v>1.25</v>
      </c>
      <c r="Q95" s="358">
        <f t="shared" si="63"/>
        <v>1.5</v>
      </c>
      <c r="R95" s="359">
        <f t="shared" ref="R95:CR95" si="122">R70/R$80</f>
        <v>1.1538461538461537</v>
      </c>
      <c r="S95" s="358">
        <f t="shared" si="64"/>
        <v>1.3846153846153846</v>
      </c>
      <c r="T95" s="359">
        <f t="shared" si="122"/>
        <v>3</v>
      </c>
      <c r="U95" s="358">
        <f t="shared" si="65"/>
        <v>3.6</v>
      </c>
      <c r="V95" s="359">
        <f t="shared" si="122"/>
        <v>1</v>
      </c>
      <c r="W95" s="358">
        <f t="shared" si="66"/>
        <v>1.2</v>
      </c>
      <c r="X95" s="359">
        <f t="shared" si="122"/>
        <v>1.3636363636363635</v>
      </c>
      <c r="Y95" s="358">
        <f t="shared" si="67"/>
        <v>1.6363636363636365</v>
      </c>
      <c r="Z95" s="359">
        <f t="shared" si="122"/>
        <v>0.16666666666666666</v>
      </c>
      <c r="AA95" s="358">
        <f t="shared" si="68"/>
        <v>0.2</v>
      </c>
      <c r="AB95" s="359">
        <f t="shared" si="122"/>
        <v>1.4999999999999999E-2</v>
      </c>
      <c r="AC95" s="358">
        <f t="shared" si="69"/>
        <v>1.7999999999999999E-2</v>
      </c>
      <c r="AD95" s="359">
        <f t="shared" si="122"/>
        <v>0.21897810218978103</v>
      </c>
      <c r="AE95" s="358">
        <f t="shared" si="70"/>
        <v>0.26277372262773724</v>
      </c>
      <c r="AF95" s="359">
        <f t="shared" si="122"/>
        <v>0.10714285714285714</v>
      </c>
      <c r="AG95" s="358">
        <f t="shared" si="71"/>
        <v>0.12857142857142856</v>
      </c>
      <c r="AH95" s="359">
        <f t="shared" si="122"/>
        <v>1.25</v>
      </c>
      <c r="AI95" s="358">
        <f t="shared" si="72"/>
        <v>1.5</v>
      </c>
      <c r="AJ95" s="359">
        <f t="shared" si="122"/>
        <v>0.15706806282722513</v>
      </c>
      <c r="AK95" s="358">
        <f t="shared" si="73"/>
        <v>0.18848167539267016</v>
      </c>
      <c r="AL95" s="359">
        <f t="shared" si="122"/>
        <v>0.14285714285714285</v>
      </c>
      <c r="AM95" s="358">
        <f t="shared" si="74"/>
        <v>0.17142857142857143</v>
      </c>
      <c r="AN95" s="359">
        <f t="shared" si="122"/>
        <v>8.3333333333333329E-2</v>
      </c>
      <c r="AO95" s="358">
        <f t="shared" si="75"/>
        <v>0.1</v>
      </c>
      <c r="AP95" s="359">
        <f t="shared" si="122"/>
        <v>0.11494252873563218</v>
      </c>
      <c r="AQ95" s="358">
        <f t="shared" si="76"/>
        <v>0.13793103448275862</v>
      </c>
      <c r="AR95" s="359">
        <f t="shared" si="122"/>
        <v>0.14285714285714285</v>
      </c>
      <c r="AS95" s="358">
        <f t="shared" si="77"/>
        <v>0.17142857142857143</v>
      </c>
      <c r="AT95" s="359">
        <f t="shared" si="122"/>
        <v>0.15789473684210525</v>
      </c>
      <c r="AU95" s="358">
        <f t="shared" si="78"/>
        <v>0.18947368421052632</v>
      </c>
      <c r="AV95" s="359">
        <f t="shared" si="122"/>
        <v>0.125</v>
      </c>
      <c r="AW95" s="358">
        <f t="shared" si="79"/>
        <v>0.15</v>
      </c>
      <c r="AX95" s="359">
        <f t="shared" si="122"/>
        <v>0.125</v>
      </c>
      <c r="AY95" s="358">
        <f t="shared" si="80"/>
        <v>0.15</v>
      </c>
      <c r="AZ95" s="359">
        <f t="shared" si="122"/>
        <v>0.125</v>
      </c>
      <c r="BA95" s="358">
        <f t="shared" si="81"/>
        <v>0.15</v>
      </c>
      <c r="BB95" s="359">
        <f t="shared" si="122"/>
        <v>0.125</v>
      </c>
      <c r="BC95" s="358">
        <f t="shared" si="82"/>
        <v>0.15</v>
      </c>
      <c r="BD95" s="359">
        <f t="shared" si="122"/>
        <v>0.2</v>
      </c>
      <c r="BE95" s="358">
        <f t="shared" si="83"/>
        <v>0.24</v>
      </c>
      <c r="BF95" s="359">
        <f t="shared" si="122"/>
        <v>0.19230769230769232</v>
      </c>
      <c r="BG95" s="358">
        <f t="shared" si="84"/>
        <v>0.23076923076923078</v>
      </c>
      <c r="BH95" s="359">
        <f t="shared" si="122"/>
        <v>0.03</v>
      </c>
      <c r="BI95" s="358">
        <f t="shared" si="85"/>
        <v>3.5999999999999997E-2</v>
      </c>
      <c r="BJ95" s="359">
        <f t="shared" si="122"/>
        <v>4.6875E-2</v>
      </c>
      <c r="BK95" s="358">
        <f t="shared" si="86"/>
        <v>5.6250000000000001E-2</v>
      </c>
      <c r="BL95" s="359">
        <f t="shared" si="122"/>
        <v>4.9180327868852458E-2</v>
      </c>
      <c r="BM95" s="358">
        <f t="shared" si="87"/>
        <v>5.9016393442622953E-2</v>
      </c>
      <c r="BN95" s="359">
        <f t="shared" si="122"/>
        <v>4.6875E-2</v>
      </c>
      <c r="BO95" s="358">
        <f t="shared" si="88"/>
        <v>5.6250000000000001E-2</v>
      </c>
      <c r="BP95" s="359">
        <f t="shared" si="122"/>
        <v>5.7692307692307696E-2</v>
      </c>
      <c r="BQ95" s="358">
        <f t="shared" si="89"/>
        <v>6.9230769230769235E-2</v>
      </c>
      <c r="BR95" s="359">
        <f t="shared" si="122"/>
        <v>3.2608695652173912E-2</v>
      </c>
      <c r="BS95" s="358">
        <f t="shared" si="90"/>
        <v>3.9130434782608699E-2</v>
      </c>
      <c r="BT95" s="357">
        <f t="shared" si="122"/>
        <v>5.3571428571428568E-2</v>
      </c>
      <c r="BU95" s="358">
        <f t="shared" si="91"/>
        <v>6.4285714285714279E-2</v>
      </c>
      <c r="BV95" s="359">
        <f t="shared" si="122"/>
        <v>2.2388059701492536E-2</v>
      </c>
      <c r="BW95" s="358">
        <f t="shared" si="92"/>
        <v>2.6865671641791045E-2</v>
      </c>
      <c r="BX95" s="359">
        <f t="shared" si="122"/>
        <v>2.34375E-2</v>
      </c>
      <c r="BY95" s="358">
        <f t="shared" si="93"/>
        <v>2.8125000000000001E-2</v>
      </c>
      <c r="BZ95" s="357">
        <f t="shared" si="122"/>
        <v>0.1875</v>
      </c>
      <c r="CA95" s="358">
        <f t="shared" si="94"/>
        <v>0.22500000000000001</v>
      </c>
      <c r="CB95" s="359">
        <f t="shared" si="122"/>
        <v>2.1126760563380281E-2</v>
      </c>
      <c r="CC95" s="358">
        <f t="shared" si="95"/>
        <v>2.5352112676056339E-2</v>
      </c>
      <c r="CD95" s="359">
        <f t="shared" si="122"/>
        <v>8.8235294117647058E-3</v>
      </c>
      <c r="CE95" s="358">
        <f t="shared" si="96"/>
        <v>1.0588235294117647E-2</v>
      </c>
      <c r="CF95" s="359">
        <f t="shared" si="122"/>
        <v>0.15</v>
      </c>
      <c r="CG95" s="358">
        <f t="shared" si="97"/>
        <v>0.18</v>
      </c>
      <c r="CH95" s="357">
        <f t="shared" si="122"/>
        <v>0.15463917525773196</v>
      </c>
      <c r="CI95" s="358">
        <f t="shared" si="98"/>
        <v>0.18556701030927836</v>
      </c>
      <c r="CJ95" s="359">
        <f t="shared" si="122"/>
        <v>0.17857142857142858</v>
      </c>
      <c r="CK95" s="358">
        <f t="shared" si="99"/>
        <v>0.21428571428571427</v>
      </c>
      <c r="CL95" s="359">
        <f t="shared" si="122"/>
        <v>7.4999999999999997E-2</v>
      </c>
      <c r="CM95" s="358">
        <f t="shared" si="100"/>
        <v>0.09</v>
      </c>
      <c r="CN95" s="357">
        <f t="shared" si="122"/>
        <v>1.4285714285714285E-2</v>
      </c>
      <c r="CO95" s="358">
        <f t="shared" si="101"/>
        <v>1.7142857142857144E-2</v>
      </c>
      <c r="CP95" s="359">
        <f t="shared" si="122"/>
        <v>1.875</v>
      </c>
      <c r="CQ95" s="358">
        <f t="shared" si="102"/>
        <v>2.25</v>
      </c>
      <c r="CR95" s="359">
        <f t="shared" si="122"/>
        <v>1.5E-3</v>
      </c>
      <c r="CS95" s="366">
        <f t="shared" si="103"/>
        <v>1.8E-3</v>
      </c>
    </row>
    <row r="96" spans="1:97" s="25" customFormat="1">
      <c r="A96" s="27" t="s">
        <v>209</v>
      </c>
      <c r="B96" s="326">
        <v>20</v>
      </c>
      <c r="C96" s="326">
        <v>70</v>
      </c>
      <c r="D96" s="351">
        <f>ROUNDDOWN(B96*(1+$D$53*0.1),0)</f>
        <v>60</v>
      </c>
      <c r="E96" s="352">
        <f t="shared" si="104"/>
        <v>135</v>
      </c>
      <c r="F96" s="353">
        <f>C96*(1+$D$53*0.1)</f>
        <v>210</v>
      </c>
      <c r="G96" s="27"/>
      <c r="H96" s="360">
        <f t="shared" si="105"/>
        <v>4</v>
      </c>
      <c r="I96" s="361">
        <f t="shared" si="106"/>
        <v>14</v>
      </c>
      <c r="J96" s="362">
        <f t="shared" si="105"/>
        <v>4</v>
      </c>
      <c r="K96" s="361">
        <f t="shared" si="106"/>
        <v>14</v>
      </c>
      <c r="L96" s="362">
        <f t="shared" si="59"/>
        <v>1.2</v>
      </c>
      <c r="M96" s="361">
        <f t="shared" si="60"/>
        <v>4.2</v>
      </c>
      <c r="N96" s="362">
        <f t="shared" si="107"/>
        <v>6</v>
      </c>
      <c r="O96" s="361">
        <f t="shared" si="62"/>
        <v>21</v>
      </c>
      <c r="P96" s="362">
        <f t="shared" si="108"/>
        <v>0.5</v>
      </c>
      <c r="Q96" s="361">
        <f t="shared" si="63"/>
        <v>1.75</v>
      </c>
      <c r="R96" s="362">
        <f t="shared" ref="R96:CR96" si="123">R71/R$80</f>
        <v>0.46153846153846156</v>
      </c>
      <c r="S96" s="361">
        <f t="shared" si="64"/>
        <v>1.6153846153846154</v>
      </c>
      <c r="T96" s="362">
        <f t="shared" si="123"/>
        <v>1.2</v>
      </c>
      <c r="U96" s="361">
        <f t="shared" si="65"/>
        <v>4.2</v>
      </c>
      <c r="V96" s="362">
        <f t="shared" si="123"/>
        <v>0.4</v>
      </c>
      <c r="W96" s="361">
        <f t="shared" si="66"/>
        <v>1.4</v>
      </c>
      <c r="X96" s="362">
        <f t="shared" si="123"/>
        <v>0.54545454545454541</v>
      </c>
      <c r="Y96" s="361">
        <f t="shared" si="67"/>
        <v>1.9090909090909092</v>
      </c>
      <c r="Z96" s="362">
        <f t="shared" si="123"/>
        <v>6.6666666666666666E-2</v>
      </c>
      <c r="AA96" s="361">
        <f t="shared" si="68"/>
        <v>0.23333333333333334</v>
      </c>
      <c r="AB96" s="362">
        <f t="shared" si="123"/>
        <v>6.0000000000000001E-3</v>
      </c>
      <c r="AC96" s="361">
        <f t="shared" si="69"/>
        <v>2.1000000000000001E-2</v>
      </c>
      <c r="AD96" s="362">
        <f t="shared" si="123"/>
        <v>8.7591240875912413E-2</v>
      </c>
      <c r="AE96" s="361">
        <f t="shared" si="70"/>
        <v>0.30656934306569344</v>
      </c>
      <c r="AF96" s="362">
        <f t="shared" si="123"/>
        <v>4.2857142857142858E-2</v>
      </c>
      <c r="AG96" s="361">
        <f t="shared" si="71"/>
        <v>0.15</v>
      </c>
      <c r="AH96" s="362">
        <f t="shared" si="123"/>
        <v>0.5</v>
      </c>
      <c r="AI96" s="361">
        <f t="shared" si="72"/>
        <v>1.75</v>
      </c>
      <c r="AJ96" s="362">
        <f t="shared" si="123"/>
        <v>6.2827225130890049E-2</v>
      </c>
      <c r="AK96" s="361">
        <f t="shared" si="73"/>
        <v>0.21989528795811519</v>
      </c>
      <c r="AL96" s="362">
        <f t="shared" si="123"/>
        <v>5.7142857142857141E-2</v>
      </c>
      <c r="AM96" s="361">
        <f t="shared" si="74"/>
        <v>0.2</v>
      </c>
      <c r="AN96" s="362">
        <f t="shared" si="123"/>
        <v>3.3333333333333333E-2</v>
      </c>
      <c r="AO96" s="361">
        <f t="shared" si="75"/>
        <v>0.11666666666666667</v>
      </c>
      <c r="AP96" s="362">
        <f t="shared" si="123"/>
        <v>4.5977011494252873E-2</v>
      </c>
      <c r="AQ96" s="361">
        <f t="shared" si="76"/>
        <v>0.16091954022988506</v>
      </c>
      <c r="AR96" s="362">
        <f t="shared" si="123"/>
        <v>5.7142857142857141E-2</v>
      </c>
      <c r="AS96" s="361">
        <f t="shared" si="77"/>
        <v>0.2</v>
      </c>
      <c r="AT96" s="362">
        <f t="shared" si="123"/>
        <v>6.3157894736842107E-2</v>
      </c>
      <c r="AU96" s="361">
        <f t="shared" si="78"/>
        <v>0.22105263157894736</v>
      </c>
      <c r="AV96" s="362">
        <f t="shared" si="123"/>
        <v>0.05</v>
      </c>
      <c r="AW96" s="361">
        <f t="shared" si="79"/>
        <v>0.17499999999999999</v>
      </c>
      <c r="AX96" s="362">
        <f t="shared" si="123"/>
        <v>0.05</v>
      </c>
      <c r="AY96" s="361">
        <f t="shared" si="80"/>
        <v>0.17499999999999999</v>
      </c>
      <c r="AZ96" s="362">
        <f t="shared" si="123"/>
        <v>0.05</v>
      </c>
      <c r="BA96" s="361">
        <f t="shared" si="81"/>
        <v>0.17499999999999999</v>
      </c>
      <c r="BB96" s="362">
        <f t="shared" si="123"/>
        <v>0.05</v>
      </c>
      <c r="BC96" s="361">
        <f t="shared" si="82"/>
        <v>0.17499999999999999</v>
      </c>
      <c r="BD96" s="362">
        <f t="shared" si="123"/>
        <v>0.08</v>
      </c>
      <c r="BE96" s="361">
        <f t="shared" si="83"/>
        <v>0.28000000000000003</v>
      </c>
      <c r="BF96" s="362">
        <f t="shared" si="123"/>
        <v>7.6923076923076927E-2</v>
      </c>
      <c r="BG96" s="361">
        <f t="shared" si="84"/>
        <v>0.26923076923076922</v>
      </c>
      <c r="BH96" s="362">
        <f t="shared" si="123"/>
        <v>1.2E-2</v>
      </c>
      <c r="BI96" s="361">
        <f t="shared" si="85"/>
        <v>4.2000000000000003E-2</v>
      </c>
      <c r="BJ96" s="362">
        <f t="shared" si="123"/>
        <v>1.8749999999999999E-2</v>
      </c>
      <c r="BK96" s="361">
        <f t="shared" si="86"/>
        <v>6.5625000000000003E-2</v>
      </c>
      <c r="BL96" s="362">
        <f t="shared" si="123"/>
        <v>1.9672131147540985E-2</v>
      </c>
      <c r="BM96" s="361">
        <f t="shared" si="87"/>
        <v>6.8852459016393447E-2</v>
      </c>
      <c r="BN96" s="362">
        <f t="shared" si="123"/>
        <v>1.8749999999999999E-2</v>
      </c>
      <c r="BO96" s="361">
        <f t="shared" si="88"/>
        <v>6.5625000000000003E-2</v>
      </c>
      <c r="BP96" s="362">
        <f t="shared" si="123"/>
        <v>2.3076923076923078E-2</v>
      </c>
      <c r="BQ96" s="361">
        <f t="shared" si="89"/>
        <v>8.0769230769230774E-2</v>
      </c>
      <c r="BR96" s="362">
        <f t="shared" si="123"/>
        <v>1.3043478260869565E-2</v>
      </c>
      <c r="BS96" s="361">
        <f t="shared" si="90"/>
        <v>4.5652173913043478E-2</v>
      </c>
      <c r="BT96" s="360">
        <f t="shared" si="123"/>
        <v>2.1428571428571429E-2</v>
      </c>
      <c r="BU96" s="361">
        <f t="shared" si="91"/>
        <v>7.4999999999999997E-2</v>
      </c>
      <c r="BV96" s="362">
        <f t="shared" si="123"/>
        <v>8.9552238805970154E-3</v>
      </c>
      <c r="BW96" s="361">
        <f t="shared" si="92"/>
        <v>3.134328358208955E-2</v>
      </c>
      <c r="BX96" s="362">
        <f t="shared" si="123"/>
        <v>9.3749999999999997E-3</v>
      </c>
      <c r="BY96" s="361">
        <f t="shared" si="93"/>
        <v>3.2812500000000001E-2</v>
      </c>
      <c r="BZ96" s="360">
        <f t="shared" si="123"/>
        <v>7.4999999999999997E-2</v>
      </c>
      <c r="CA96" s="361">
        <f t="shared" si="94"/>
        <v>0.26250000000000001</v>
      </c>
      <c r="CB96" s="362">
        <f t="shared" si="123"/>
        <v>8.4507042253521118E-3</v>
      </c>
      <c r="CC96" s="361">
        <f t="shared" si="95"/>
        <v>2.9577464788732393E-2</v>
      </c>
      <c r="CD96" s="362">
        <f t="shared" si="123"/>
        <v>3.5294117647058825E-3</v>
      </c>
      <c r="CE96" s="361">
        <f t="shared" si="96"/>
        <v>1.2352941176470587E-2</v>
      </c>
      <c r="CF96" s="362">
        <f t="shared" si="123"/>
        <v>0.06</v>
      </c>
      <c r="CG96" s="361">
        <f t="shared" si="97"/>
        <v>0.21</v>
      </c>
      <c r="CH96" s="360">
        <f t="shared" si="123"/>
        <v>6.1855670103092786E-2</v>
      </c>
      <c r="CI96" s="361">
        <f t="shared" si="98"/>
        <v>0.21649484536082475</v>
      </c>
      <c r="CJ96" s="362">
        <f t="shared" si="123"/>
        <v>7.1428571428571425E-2</v>
      </c>
      <c r="CK96" s="361">
        <f t="shared" si="99"/>
        <v>0.25</v>
      </c>
      <c r="CL96" s="362">
        <f t="shared" si="123"/>
        <v>0.03</v>
      </c>
      <c r="CM96" s="361">
        <f t="shared" si="100"/>
        <v>0.105</v>
      </c>
      <c r="CN96" s="360">
        <f t="shared" si="123"/>
        <v>5.7142857142857143E-3</v>
      </c>
      <c r="CO96" s="361">
        <f t="shared" si="101"/>
        <v>0.02</v>
      </c>
      <c r="CP96" s="362">
        <f t="shared" si="123"/>
        <v>0.75</v>
      </c>
      <c r="CQ96" s="361">
        <f t="shared" si="102"/>
        <v>2.625</v>
      </c>
      <c r="CR96" s="362">
        <f t="shared" si="123"/>
        <v>5.9999999999999995E-4</v>
      </c>
      <c r="CS96" s="367">
        <f t="shared" si="103"/>
        <v>2.0999999999999999E-3</v>
      </c>
    </row>
    <row r="97" spans="1:97" s="25" customFormat="1">
      <c r="A97" s="105" t="s">
        <v>239</v>
      </c>
      <c r="B97" s="238">
        <v>160</v>
      </c>
      <c r="C97" s="238">
        <v>240</v>
      </c>
      <c r="D97" s="344">
        <f>ROUNDDOWN(B97*(1+$D$53*0.1),0)</f>
        <v>480</v>
      </c>
      <c r="E97" s="345">
        <f t="shared" si="104"/>
        <v>600</v>
      </c>
      <c r="F97" s="347">
        <f>C97*(1+$D$53*0.1)</f>
        <v>720</v>
      </c>
      <c r="H97" s="357">
        <f t="shared" si="105"/>
        <v>32</v>
      </c>
      <c r="I97" s="358">
        <f t="shared" si="106"/>
        <v>48</v>
      </c>
      <c r="J97" s="359">
        <f t="shared" si="105"/>
        <v>32</v>
      </c>
      <c r="K97" s="358">
        <f t="shared" si="106"/>
        <v>48</v>
      </c>
      <c r="L97" s="359">
        <f t="shared" si="59"/>
        <v>9.6</v>
      </c>
      <c r="M97" s="358">
        <f t="shared" si="60"/>
        <v>14.4</v>
      </c>
      <c r="N97" s="359">
        <f t="shared" si="107"/>
        <v>48</v>
      </c>
      <c r="O97" s="358">
        <f t="shared" si="62"/>
        <v>72</v>
      </c>
      <c r="P97" s="359">
        <f t="shared" si="108"/>
        <v>4</v>
      </c>
      <c r="Q97" s="358">
        <f t="shared" si="63"/>
        <v>6</v>
      </c>
      <c r="R97" s="359">
        <f t="shared" ref="R97:CR97" si="124">R72/R$80</f>
        <v>3.6923076923076925</v>
      </c>
      <c r="S97" s="358">
        <f t="shared" si="64"/>
        <v>5.5384615384615383</v>
      </c>
      <c r="T97" s="359">
        <f t="shared" si="124"/>
        <v>9.6</v>
      </c>
      <c r="U97" s="358">
        <f t="shared" si="65"/>
        <v>14.4</v>
      </c>
      <c r="V97" s="359">
        <f t="shared" si="124"/>
        <v>3.2</v>
      </c>
      <c r="W97" s="358">
        <f t="shared" si="66"/>
        <v>4.8</v>
      </c>
      <c r="X97" s="359">
        <f t="shared" si="124"/>
        <v>4.3636363636363633</v>
      </c>
      <c r="Y97" s="358">
        <f t="shared" si="67"/>
        <v>6.5454545454545459</v>
      </c>
      <c r="Z97" s="359">
        <f t="shared" si="124"/>
        <v>0.53333333333333333</v>
      </c>
      <c r="AA97" s="358">
        <f t="shared" si="68"/>
        <v>0.8</v>
      </c>
      <c r="AB97" s="359">
        <f t="shared" si="124"/>
        <v>1.2E-2</v>
      </c>
      <c r="AC97" s="358">
        <f t="shared" si="69"/>
        <v>1.7999999999999999E-2</v>
      </c>
      <c r="AD97" s="359">
        <f t="shared" si="124"/>
        <v>0.7007299270072993</v>
      </c>
      <c r="AE97" s="358">
        <f t="shared" si="70"/>
        <v>1.051094890510949</v>
      </c>
      <c r="AF97" s="359">
        <f t="shared" si="124"/>
        <v>0.34285714285714286</v>
      </c>
      <c r="AG97" s="358">
        <f t="shared" si="71"/>
        <v>0.51428571428571423</v>
      </c>
      <c r="AH97" s="359">
        <f t="shared" si="124"/>
        <v>1</v>
      </c>
      <c r="AI97" s="358">
        <f t="shared" si="72"/>
        <v>1.5</v>
      </c>
      <c r="AJ97" s="359">
        <f t="shared" si="124"/>
        <v>0.50261780104712039</v>
      </c>
      <c r="AK97" s="358">
        <f t="shared" si="73"/>
        <v>0.75392670157068065</v>
      </c>
      <c r="AL97" s="359">
        <f t="shared" si="124"/>
        <v>0.45714285714285713</v>
      </c>
      <c r="AM97" s="358">
        <f t="shared" si="74"/>
        <v>0.68571428571428572</v>
      </c>
      <c r="AN97" s="359">
        <f t="shared" si="124"/>
        <v>6.6666666666666666E-2</v>
      </c>
      <c r="AO97" s="358">
        <f t="shared" si="75"/>
        <v>0.1</v>
      </c>
      <c r="AP97" s="359">
        <f t="shared" si="124"/>
        <v>1.103448275862069</v>
      </c>
      <c r="AQ97" s="358">
        <f t="shared" si="76"/>
        <v>1.6551724137931034</v>
      </c>
      <c r="AR97" s="359">
        <f t="shared" si="124"/>
        <v>0.11428571428571428</v>
      </c>
      <c r="AS97" s="358">
        <f t="shared" si="77"/>
        <v>0.17142857142857143</v>
      </c>
      <c r="AT97" s="359">
        <f t="shared" si="124"/>
        <v>0.50526315789473686</v>
      </c>
      <c r="AU97" s="358">
        <f t="shared" si="78"/>
        <v>0.75789473684210529</v>
      </c>
      <c r="AV97" s="359">
        <f t="shared" si="124"/>
        <v>0.4</v>
      </c>
      <c r="AW97" s="358">
        <f t="shared" si="79"/>
        <v>0.6</v>
      </c>
      <c r="AX97" s="359">
        <f t="shared" si="124"/>
        <v>0.1</v>
      </c>
      <c r="AY97" s="358">
        <f t="shared" si="80"/>
        <v>0.15</v>
      </c>
      <c r="AZ97" s="359">
        <f t="shared" si="124"/>
        <v>0.1</v>
      </c>
      <c r="BA97" s="358">
        <f t="shared" si="81"/>
        <v>0.15</v>
      </c>
      <c r="BB97" s="359">
        <f t="shared" si="124"/>
        <v>1.2</v>
      </c>
      <c r="BC97" s="358">
        <f t="shared" si="82"/>
        <v>1.8</v>
      </c>
      <c r="BD97" s="359">
        <f t="shared" si="124"/>
        <v>0.64</v>
      </c>
      <c r="BE97" s="358">
        <f t="shared" si="83"/>
        <v>0.96</v>
      </c>
      <c r="BF97" s="359">
        <f t="shared" si="124"/>
        <v>0.15384615384615385</v>
      </c>
      <c r="BG97" s="358">
        <f t="shared" si="84"/>
        <v>0.23076923076923078</v>
      </c>
      <c r="BH97" s="359">
        <f t="shared" si="124"/>
        <v>2.4E-2</v>
      </c>
      <c r="BI97" s="358">
        <f t="shared" si="85"/>
        <v>3.5999999999999997E-2</v>
      </c>
      <c r="BJ97" s="359">
        <f t="shared" si="124"/>
        <v>3.7499999999999999E-2</v>
      </c>
      <c r="BK97" s="358">
        <f t="shared" si="86"/>
        <v>5.6250000000000001E-2</v>
      </c>
      <c r="BL97" s="359">
        <f t="shared" si="124"/>
        <v>0.15737704918032788</v>
      </c>
      <c r="BM97" s="358">
        <f t="shared" si="87"/>
        <v>0.23606557377049181</v>
      </c>
      <c r="BN97" s="359">
        <f t="shared" si="124"/>
        <v>0.45</v>
      </c>
      <c r="BO97" s="358">
        <f t="shared" si="88"/>
        <v>0.67500000000000004</v>
      </c>
      <c r="BP97" s="359">
        <f t="shared" si="124"/>
        <v>0.18461538461538463</v>
      </c>
      <c r="BQ97" s="358">
        <f t="shared" si="89"/>
        <v>0.27692307692307694</v>
      </c>
      <c r="BR97" s="359">
        <f t="shared" si="124"/>
        <v>0.10434782608695652</v>
      </c>
      <c r="BS97" s="358">
        <f t="shared" si="90"/>
        <v>0.15652173913043479</v>
      </c>
      <c r="BT97" s="357">
        <f t="shared" si="124"/>
        <v>0.17142857142857143</v>
      </c>
      <c r="BU97" s="358">
        <f t="shared" si="91"/>
        <v>0.25714285714285712</v>
      </c>
      <c r="BV97" s="359">
        <f t="shared" si="124"/>
        <v>7.1641791044776124E-2</v>
      </c>
      <c r="BW97" s="358">
        <f t="shared" si="92"/>
        <v>0.10746268656716418</v>
      </c>
      <c r="BX97" s="359">
        <f t="shared" si="124"/>
        <v>5.6250000000000001E-2</v>
      </c>
      <c r="BY97" s="358">
        <f t="shared" si="93"/>
        <v>8.4375000000000006E-2</v>
      </c>
      <c r="BZ97" s="357">
        <f t="shared" si="124"/>
        <v>0.6</v>
      </c>
      <c r="CA97" s="358">
        <f t="shared" si="94"/>
        <v>0.9</v>
      </c>
      <c r="CB97" s="359">
        <f t="shared" si="124"/>
        <v>0.20281690140845071</v>
      </c>
      <c r="CC97" s="358">
        <f t="shared" si="95"/>
        <v>0.30422535211267604</v>
      </c>
      <c r="CD97" s="359">
        <f t="shared" si="124"/>
        <v>7.058823529411765E-3</v>
      </c>
      <c r="CE97" s="358">
        <f t="shared" si="96"/>
        <v>1.0588235294117647E-2</v>
      </c>
      <c r="CF97" s="359">
        <f t="shared" si="124"/>
        <v>0.48</v>
      </c>
      <c r="CG97" s="358">
        <f t="shared" si="97"/>
        <v>0.72</v>
      </c>
      <c r="CH97" s="357">
        <f t="shared" si="124"/>
        <v>0.49484536082474229</v>
      </c>
      <c r="CI97" s="358">
        <f t="shared" si="98"/>
        <v>0.74226804123711343</v>
      </c>
      <c r="CJ97" s="359">
        <f t="shared" si="124"/>
        <v>1.7142857142857142</v>
      </c>
      <c r="CK97" s="358">
        <f t="shared" si="99"/>
        <v>2.5714285714285716</v>
      </c>
      <c r="CL97" s="359">
        <f t="shared" si="124"/>
        <v>0.06</v>
      </c>
      <c r="CM97" s="358">
        <f t="shared" si="100"/>
        <v>0.09</v>
      </c>
      <c r="CN97" s="357">
        <f t="shared" si="124"/>
        <v>4.5714285714285714E-2</v>
      </c>
      <c r="CO97" s="358">
        <f t="shared" si="101"/>
        <v>6.8571428571428575E-2</v>
      </c>
      <c r="CP97" s="359">
        <f t="shared" si="124"/>
        <v>6</v>
      </c>
      <c r="CQ97" s="358">
        <f t="shared" si="102"/>
        <v>9</v>
      </c>
      <c r="CR97" s="359">
        <f t="shared" si="124"/>
        <v>4.7999999999999996E-3</v>
      </c>
      <c r="CS97" s="366">
        <f t="shared" si="103"/>
        <v>7.1999999999999998E-3</v>
      </c>
    </row>
    <row r="98" spans="1:97" s="25" customFormat="1">
      <c r="A98" s="339" t="s">
        <v>243</v>
      </c>
      <c r="B98" s="238">
        <v>140</v>
      </c>
      <c r="C98" s="238">
        <v>200</v>
      </c>
      <c r="D98" s="344">
        <f>ROUNDDOWN(B98*(1+$D$53*0.1),0)</f>
        <v>420</v>
      </c>
      <c r="E98" s="345">
        <f t="shared" si="104"/>
        <v>510</v>
      </c>
      <c r="F98" s="347">
        <f>C98*(1+$D$53*0.1)</f>
        <v>600</v>
      </c>
      <c r="H98" s="357">
        <f t="shared" si="105"/>
        <v>28</v>
      </c>
      <c r="I98" s="358">
        <f t="shared" si="106"/>
        <v>40</v>
      </c>
      <c r="J98" s="359">
        <f t="shared" si="105"/>
        <v>28</v>
      </c>
      <c r="K98" s="358">
        <f t="shared" si="106"/>
        <v>40</v>
      </c>
      <c r="L98" s="359">
        <f t="shared" si="59"/>
        <v>8.4</v>
      </c>
      <c r="M98" s="358">
        <f t="shared" si="60"/>
        <v>12</v>
      </c>
      <c r="N98" s="359">
        <f t="shared" si="107"/>
        <v>42</v>
      </c>
      <c r="O98" s="358">
        <f t="shared" si="62"/>
        <v>60</v>
      </c>
      <c r="P98" s="359">
        <f t="shared" si="108"/>
        <v>3.5</v>
      </c>
      <c r="Q98" s="358">
        <f t="shared" si="63"/>
        <v>5</v>
      </c>
      <c r="R98" s="359">
        <f t="shared" ref="R98:CR98" si="125">R73/R$80</f>
        <v>3.2307692307692308</v>
      </c>
      <c r="S98" s="358">
        <f t="shared" si="64"/>
        <v>4.615384615384615</v>
      </c>
      <c r="T98" s="359">
        <f t="shared" si="125"/>
        <v>8.4</v>
      </c>
      <c r="U98" s="358">
        <f t="shared" si="65"/>
        <v>12</v>
      </c>
      <c r="V98" s="359">
        <f t="shared" si="125"/>
        <v>2.8</v>
      </c>
      <c r="W98" s="358">
        <f t="shared" si="66"/>
        <v>4</v>
      </c>
      <c r="X98" s="359">
        <f t="shared" si="125"/>
        <v>3.8181818181818183</v>
      </c>
      <c r="Y98" s="358">
        <f t="shared" si="67"/>
        <v>5.4545454545454541</v>
      </c>
      <c r="Z98" s="359">
        <f t="shared" si="125"/>
        <v>0.46666666666666667</v>
      </c>
      <c r="AA98" s="358">
        <f t="shared" si="68"/>
        <v>0.66666666666666663</v>
      </c>
      <c r="AB98" s="359">
        <f t="shared" si="125"/>
        <v>1.0500000000000001E-2</v>
      </c>
      <c r="AC98" s="358">
        <f t="shared" si="69"/>
        <v>1.4999999999999999E-2</v>
      </c>
      <c r="AD98" s="359">
        <f t="shared" si="125"/>
        <v>1.8394160583941606</v>
      </c>
      <c r="AE98" s="358">
        <f t="shared" si="70"/>
        <v>2.6277372262773722</v>
      </c>
      <c r="AF98" s="359">
        <f t="shared" si="125"/>
        <v>0.3</v>
      </c>
      <c r="AG98" s="358">
        <f t="shared" si="71"/>
        <v>0.42857142857142855</v>
      </c>
      <c r="AH98" s="359">
        <f t="shared" si="125"/>
        <v>3.5</v>
      </c>
      <c r="AI98" s="358">
        <f t="shared" si="72"/>
        <v>5</v>
      </c>
      <c r="AJ98" s="359">
        <f t="shared" si="125"/>
        <v>0.43979057591623039</v>
      </c>
      <c r="AK98" s="358">
        <f t="shared" si="73"/>
        <v>0.62827225130890052</v>
      </c>
      <c r="AL98" s="359">
        <f t="shared" si="125"/>
        <v>0.4</v>
      </c>
      <c r="AM98" s="358">
        <f t="shared" si="74"/>
        <v>0.5714285714285714</v>
      </c>
      <c r="AN98" s="359">
        <f t="shared" si="125"/>
        <v>0.17499999999999999</v>
      </c>
      <c r="AO98" s="358">
        <f t="shared" si="75"/>
        <v>0.25</v>
      </c>
      <c r="AP98" s="359">
        <f t="shared" si="125"/>
        <v>8.0459770114942528E-2</v>
      </c>
      <c r="AQ98" s="358">
        <f t="shared" si="76"/>
        <v>0.11494252873563218</v>
      </c>
      <c r="AR98" s="359">
        <f t="shared" si="125"/>
        <v>0.1</v>
      </c>
      <c r="AS98" s="358">
        <f t="shared" si="77"/>
        <v>0.14285714285714285</v>
      </c>
      <c r="AT98" s="359">
        <f t="shared" si="125"/>
        <v>0.44210526315789472</v>
      </c>
      <c r="AU98" s="358">
        <f t="shared" si="78"/>
        <v>0.63157894736842102</v>
      </c>
      <c r="AV98" s="359">
        <f t="shared" si="125"/>
        <v>1.05</v>
      </c>
      <c r="AW98" s="358">
        <f t="shared" si="79"/>
        <v>1.5</v>
      </c>
      <c r="AX98" s="359">
        <f t="shared" si="125"/>
        <v>0.35</v>
      </c>
      <c r="AY98" s="358">
        <f t="shared" si="80"/>
        <v>0.5</v>
      </c>
      <c r="AZ98" s="359">
        <f t="shared" si="125"/>
        <v>8.7499999999999994E-2</v>
      </c>
      <c r="BA98" s="358">
        <f t="shared" si="81"/>
        <v>0.125</v>
      </c>
      <c r="BB98" s="359">
        <f t="shared" si="125"/>
        <v>8.7499999999999994E-2</v>
      </c>
      <c r="BC98" s="358">
        <f t="shared" si="82"/>
        <v>0.125</v>
      </c>
      <c r="BD98" s="359">
        <f t="shared" si="125"/>
        <v>0.56000000000000005</v>
      </c>
      <c r="BE98" s="358">
        <f t="shared" si="83"/>
        <v>0.8</v>
      </c>
      <c r="BF98" s="359">
        <f t="shared" si="125"/>
        <v>0.13461538461538461</v>
      </c>
      <c r="BG98" s="358">
        <f t="shared" si="84"/>
        <v>0.19230769230769232</v>
      </c>
      <c r="BH98" s="359">
        <f t="shared" si="125"/>
        <v>8.4000000000000005E-2</v>
      </c>
      <c r="BI98" s="358">
        <f t="shared" si="85"/>
        <v>0.12</v>
      </c>
      <c r="BJ98" s="359">
        <f t="shared" si="125"/>
        <v>3.2812500000000001E-2</v>
      </c>
      <c r="BK98" s="358">
        <f t="shared" si="86"/>
        <v>4.6875E-2</v>
      </c>
      <c r="BL98" s="359">
        <f t="shared" si="125"/>
        <v>0.13770491803278689</v>
      </c>
      <c r="BM98" s="358">
        <f t="shared" si="87"/>
        <v>0.19672131147540983</v>
      </c>
      <c r="BN98" s="359">
        <f t="shared" si="125"/>
        <v>3.2812500000000001E-2</v>
      </c>
      <c r="BO98" s="358">
        <f t="shared" si="88"/>
        <v>4.6875E-2</v>
      </c>
      <c r="BP98" s="359">
        <f t="shared" si="125"/>
        <v>0.16153846153846155</v>
      </c>
      <c r="BQ98" s="358">
        <f t="shared" si="89"/>
        <v>0.23076923076923078</v>
      </c>
      <c r="BR98" s="359">
        <f t="shared" si="125"/>
        <v>9.1304347826086957E-2</v>
      </c>
      <c r="BS98" s="358">
        <f t="shared" si="90"/>
        <v>0.13043478260869565</v>
      </c>
      <c r="BT98" s="357">
        <f t="shared" si="125"/>
        <v>0.15</v>
      </c>
      <c r="BU98" s="358">
        <f t="shared" si="91"/>
        <v>0.21428571428571427</v>
      </c>
      <c r="BV98" s="359">
        <f t="shared" si="125"/>
        <v>6.2686567164179099E-2</v>
      </c>
      <c r="BW98" s="358">
        <f t="shared" si="92"/>
        <v>8.9552238805970144E-2</v>
      </c>
      <c r="BX98" s="359">
        <f t="shared" si="125"/>
        <v>1.6406250000000001E-2</v>
      </c>
      <c r="BY98" s="358">
        <f t="shared" si="93"/>
        <v>2.34375E-2</v>
      </c>
      <c r="BZ98" s="357">
        <f t="shared" si="125"/>
        <v>1.575</v>
      </c>
      <c r="CA98" s="358">
        <f t="shared" si="94"/>
        <v>2.25</v>
      </c>
      <c r="CB98" s="359">
        <f t="shared" si="125"/>
        <v>1.4788732394366197E-2</v>
      </c>
      <c r="CC98" s="358">
        <f t="shared" si="95"/>
        <v>2.1126760563380281E-2</v>
      </c>
      <c r="CD98" s="359">
        <f t="shared" si="125"/>
        <v>6.1764705882352937E-3</v>
      </c>
      <c r="CE98" s="358">
        <f t="shared" si="96"/>
        <v>8.8235294117647058E-3</v>
      </c>
      <c r="CF98" s="359">
        <f t="shared" si="125"/>
        <v>0.42</v>
      </c>
      <c r="CG98" s="358">
        <f t="shared" si="97"/>
        <v>0.6</v>
      </c>
      <c r="CH98" s="357">
        <f t="shared" si="125"/>
        <v>1.2989690721649485</v>
      </c>
      <c r="CI98" s="358">
        <f t="shared" si="98"/>
        <v>1.8556701030927836</v>
      </c>
      <c r="CJ98" s="359">
        <f t="shared" si="125"/>
        <v>0.125</v>
      </c>
      <c r="CK98" s="358">
        <f t="shared" si="99"/>
        <v>0.17857142857142858</v>
      </c>
      <c r="CL98" s="359">
        <f t="shared" si="125"/>
        <v>5.2499999999999998E-2</v>
      </c>
      <c r="CM98" s="358">
        <f t="shared" si="100"/>
        <v>7.4999999999999997E-2</v>
      </c>
      <c r="CN98" s="357">
        <f t="shared" si="125"/>
        <v>0.04</v>
      </c>
      <c r="CO98" s="358">
        <f t="shared" si="101"/>
        <v>5.7142857142857141E-2</v>
      </c>
      <c r="CP98" s="359">
        <f t="shared" si="125"/>
        <v>5.25</v>
      </c>
      <c r="CQ98" s="358">
        <f t="shared" si="102"/>
        <v>7.5</v>
      </c>
      <c r="CR98" s="359">
        <f t="shared" si="125"/>
        <v>4.1999999999999997E-3</v>
      </c>
      <c r="CS98" s="366">
        <f t="shared" si="103"/>
        <v>6.0000000000000001E-3</v>
      </c>
    </row>
    <row r="99" spans="1:97" s="25" customFormat="1">
      <c r="A99" s="340" t="s">
        <v>263</v>
      </c>
      <c r="B99" s="238">
        <v>150</v>
      </c>
      <c r="C99" s="238">
        <v>250</v>
      </c>
      <c r="D99" s="344">
        <f t="shared" ref="D99:D101" si="126">ROUNDDOWN(B99*(1+$D$53*0.1),0)</f>
        <v>450</v>
      </c>
      <c r="E99" s="345">
        <f t="shared" si="104"/>
        <v>600</v>
      </c>
      <c r="F99" s="347">
        <f t="shared" ref="F99:F101" si="127">C99*(1+$D$53*0.1)</f>
        <v>750</v>
      </c>
      <c r="H99" s="357">
        <f t="shared" si="105"/>
        <v>30</v>
      </c>
      <c r="I99" s="358">
        <f t="shared" si="106"/>
        <v>50</v>
      </c>
      <c r="J99" s="359">
        <f t="shared" si="105"/>
        <v>30</v>
      </c>
      <c r="K99" s="358">
        <f t="shared" si="106"/>
        <v>50</v>
      </c>
      <c r="L99" s="359">
        <f t="shared" si="59"/>
        <v>9</v>
      </c>
      <c r="M99" s="358">
        <f t="shared" si="60"/>
        <v>15</v>
      </c>
      <c r="N99" s="359">
        <f t="shared" si="107"/>
        <v>45</v>
      </c>
      <c r="O99" s="358">
        <f t="shared" si="62"/>
        <v>75</v>
      </c>
      <c r="P99" s="359">
        <f t="shared" si="108"/>
        <v>3.75</v>
      </c>
      <c r="Q99" s="358">
        <f t="shared" si="63"/>
        <v>6.25</v>
      </c>
      <c r="R99" s="359">
        <f t="shared" ref="R99:CR99" si="128">R74/R$80</f>
        <v>3.4615384615384617</v>
      </c>
      <c r="S99" s="358">
        <f t="shared" si="64"/>
        <v>5.7692307692307692</v>
      </c>
      <c r="T99" s="359">
        <f t="shared" si="128"/>
        <v>9</v>
      </c>
      <c r="U99" s="358">
        <f t="shared" si="65"/>
        <v>15</v>
      </c>
      <c r="V99" s="359">
        <f t="shared" si="128"/>
        <v>3</v>
      </c>
      <c r="W99" s="358">
        <f t="shared" si="66"/>
        <v>5</v>
      </c>
      <c r="X99" s="359">
        <f t="shared" si="128"/>
        <v>4.0909090909090908</v>
      </c>
      <c r="Y99" s="358">
        <f t="shared" si="67"/>
        <v>6.8181818181818183</v>
      </c>
      <c r="Z99" s="359">
        <f t="shared" si="128"/>
        <v>0.5</v>
      </c>
      <c r="AA99" s="358">
        <f t="shared" si="68"/>
        <v>0.83333333333333337</v>
      </c>
      <c r="AB99" s="359">
        <f t="shared" si="128"/>
        <v>0.13500000000000001</v>
      </c>
      <c r="AC99" s="358">
        <f t="shared" si="69"/>
        <v>0.22500000000000001</v>
      </c>
      <c r="AD99" s="359">
        <f t="shared" si="128"/>
        <v>0.16423357664233576</v>
      </c>
      <c r="AE99" s="358">
        <f t="shared" si="70"/>
        <v>0.27372262773722628</v>
      </c>
      <c r="AF99" s="359">
        <f t="shared" si="128"/>
        <v>0.32142857142857145</v>
      </c>
      <c r="AG99" s="358">
        <f t="shared" si="71"/>
        <v>0.5357142857142857</v>
      </c>
      <c r="AH99" s="359">
        <f t="shared" si="128"/>
        <v>0.9375</v>
      </c>
      <c r="AI99" s="358">
        <f t="shared" si="72"/>
        <v>1.5625</v>
      </c>
      <c r="AJ99" s="359">
        <f t="shared" si="128"/>
        <v>0.47120418848167539</v>
      </c>
      <c r="AK99" s="358">
        <f t="shared" si="73"/>
        <v>0.78534031413612571</v>
      </c>
      <c r="AL99" s="359">
        <f t="shared" si="128"/>
        <v>0.42857142857142855</v>
      </c>
      <c r="AM99" s="358">
        <f t="shared" si="74"/>
        <v>0.7142857142857143</v>
      </c>
      <c r="AN99" s="359">
        <f t="shared" si="128"/>
        <v>0.1875</v>
      </c>
      <c r="AO99" s="358">
        <f t="shared" si="75"/>
        <v>0.3125</v>
      </c>
      <c r="AP99" s="359">
        <f t="shared" si="128"/>
        <v>0.34482758620689657</v>
      </c>
      <c r="AQ99" s="358">
        <f t="shared" si="76"/>
        <v>0.57471264367816088</v>
      </c>
      <c r="AR99" s="359">
        <f t="shared" si="128"/>
        <v>1.2857142857142858</v>
      </c>
      <c r="AS99" s="358">
        <f t="shared" si="77"/>
        <v>2.1428571428571428</v>
      </c>
      <c r="AT99" s="359">
        <f t="shared" si="128"/>
        <v>0.47368421052631576</v>
      </c>
      <c r="AU99" s="358">
        <f t="shared" si="78"/>
        <v>0.78947368421052633</v>
      </c>
      <c r="AV99" s="359">
        <f t="shared" si="128"/>
        <v>9.375E-2</v>
      </c>
      <c r="AW99" s="358">
        <f t="shared" si="79"/>
        <v>0.15625</v>
      </c>
      <c r="AX99" s="359">
        <f t="shared" si="128"/>
        <v>9.375E-2</v>
      </c>
      <c r="AY99" s="358">
        <f t="shared" si="80"/>
        <v>0.15625</v>
      </c>
      <c r="AZ99" s="359">
        <f t="shared" si="128"/>
        <v>1.125</v>
      </c>
      <c r="BA99" s="358">
        <f t="shared" si="81"/>
        <v>1.875</v>
      </c>
      <c r="BB99" s="359">
        <f t="shared" si="128"/>
        <v>0.375</v>
      </c>
      <c r="BC99" s="358">
        <f t="shared" si="82"/>
        <v>0.625</v>
      </c>
      <c r="BD99" s="359">
        <f t="shared" si="128"/>
        <v>0.6</v>
      </c>
      <c r="BE99" s="358">
        <f t="shared" si="83"/>
        <v>1</v>
      </c>
      <c r="BF99" s="359">
        <f t="shared" si="128"/>
        <v>1.7307692307692308</v>
      </c>
      <c r="BG99" s="358">
        <f t="shared" si="84"/>
        <v>2.8846153846153846</v>
      </c>
      <c r="BH99" s="359">
        <f t="shared" si="128"/>
        <v>2.2499999999999999E-2</v>
      </c>
      <c r="BI99" s="358">
        <f t="shared" si="85"/>
        <v>3.7499999999999999E-2</v>
      </c>
      <c r="BJ99" s="359">
        <f t="shared" si="128"/>
        <v>0.421875</v>
      </c>
      <c r="BK99" s="358">
        <f t="shared" si="86"/>
        <v>0.703125</v>
      </c>
      <c r="BL99" s="359">
        <f t="shared" si="128"/>
        <v>0.14754098360655737</v>
      </c>
      <c r="BM99" s="358">
        <f t="shared" si="87"/>
        <v>0.24590163934426229</v>
      </c>
      <c r="BN99" s="359">
        <f t="shared" si="128"/>
        <v>0.140625</v>
      </c>
      <c r="BO99" s="358">
        <f t="shared" si="88"/>
        <v>0.234375</v>
      </c>
      <c r="BP99" s="359">
        <f t="shared" si="128"/>
        <v>0.17307692307692307</v>
      </c>
      <c r="BQ99" s="358">
        <f t="shared" si="89"/>
        <v>0.28846153846153844</v>
      </c>
      <c r="BR99" s="359">
        <f t="shared" si="128"/>
        <v>9.7826086956521743E-2</v>
      </c>
      <c r="BS99" s="358">
        <f t="shared" si="90"/>
        <v>0.16304347826086957</v>
      </c>
      <c r="BT99" s="357">
        <f t="shared" si="128"/>
        <v>0.16071428571428573</v>
      </c>
      <c r="BU99" s="358">
        <f t="shared" si="91"/>
        <v>0.26785714285714285</v>
      </c>
      <c r="BV99" s="359">
        <f t="shared" si="128"/>
        <v>6.7164179104477612E-2</v>
      </c>
      <c r="BW99" s="358">
        <f t="shared" si="92"/>
        <v>0.11194029850746269</v>
      </c>
      <c r="BX99" s="359">
        <f t="shared" si="128"/>
        <v>1.7578125E-2</v>
      </c>
      <c r="BY99" s="358">
        <f t="shared" si="93"/>
        <v>2.9296875E-2</v>
      </c>
      <c r="BZ99" s="357">
        <f t="shared" si="128"/>
        <v>0.140625</v>
      </c>
      <c r="CA99" s="358">
        <f t="shared" si="94"/>
        <v>0.234375</v>
      </c>
      <c r="CB99" s="359">
        <f t="shared" si="128"/>
        <v>6.3380281690140844E-2</v>
      </c>
      <c r="CC99" s="358">
        <f t="shared" si="95"/>
        <v>0.10563380281690141</v>
      </c>
      <c r="CD99" s="359">
        <f t="shared" si="128"/>
        <v>7.9411764705882348E-2</v>
      </c>
      <c r="CE99" s="358">
        <f t="shared" si="96"/>
        <v>0.13235294117647059</v>
      </c>
      <c r="CF99" s="359">
        <f t="shared" si="128"/>
        <v>0.45</v>
      </c>
      <c r="CG99" s="358">
        <f t="shared" si="97"/>
        <v>0.75</v>
      </c>
      <c r="CH99" s="357">
        <f t="shared" si="128"/>
        <v>0.11597938144329897</v>
      </c>
      <c r="CI99" s="358">
        <f t="shared" si="98"/>
        <v>0.19329896907216496</v>
      </c>
      <c r="CJ99" s="359">
        <f t="shared" si="128"/>
        <v>0.5357142857142857</v>
      </c>
      <c r="CK99" s="358">
        <f t="shared" si="99"/>
        <v>0.8928571428571429</v>
      </c>
      <c r="CL99" s="359">
        <f t="shared" si="128"/>
        <v>0.67500000000000004</v>
      </c>
      <c r="CM99" s="358">
        <f t="shared" si="100"/>
        <v>1.125</v>
      </c>
      <c r="CN99" s="357">
        <f t="shared" si="128"/>
        <v>4.2857142857142858E-2</v>
      </c>
      <c r="CO99" s="358">
        <f t="shared" si="101"/>
        <v>7.1428571428571425E-2</v>
      </c>
      <c r="CP99" s="359">
        <f t="shared" si="128"/>
        <v>5.625</v>
      </c>
      <c r="CQ99" s="358">
        <f t="shared" si="102"/>
        <v>9.375</v>
      </c>
      <c r="CR99" s="359">
        <f t="shared" si="128"/>
        <v>4.4999999999999997E-3</v>
      </c>
      <c r="CS99" s="366">
        <f t="shared" si="103"/>
        <v>7.4999999999999997E-3</v>
      </c>
    </row>
    <row r="100" spans="1:97" s="25" customFormat="1">
      <c r="A100" s="107" t="s">
        <v>332</v>
      </c>
      <c r="B100" s="238">
        <v>200</v>
      </c>
      <c r="C100" s="238">
        <v>220</v>
      </c>
      <c r="D100" s="344">
        <f t="shared" si="126"/>
        <v>600</v>
      </c>
      <c r="E100" s="345">
        <f t="shared" si="104"/>
        <v>630</v>
      </c>
      <c r="F100" s="347">
        <f t="shared" si="127"/>
        <v>660</v>
      </c>
      <c r="H100" s="357">
        <f t="shared" si="105"/>
        <v>40</v>
      </c>
      <c r="I100" s="358">
        <f t="shared" si="106"/>
        <v>44</v>
      </c>
      <c r="J100" s="359">
        <f t="shared" si="105"/>
        <v>40</v>
      </c>
      <c r="K100" s="358">
        <f t="shared" si="106"/>
        <v>44</v>
      </c>
      <c r="L100" s="359">
        <f t="shared" si="59"/>
        <v>12</v>
      </c>
      <c r="M100" s="358">
        <f t="shared" si="60"/>
        <v>13.2</v>
      </c>
      <c r="N100" s="359">
        <f t="shared" si="107"/>
        <v>60</v>
      </c>
      <c r="O100" s="358">
        <f t="shared" si="62"/>
        <v>66</v>
      </c>
      <c r="P100" s="359">
        <f t="shared" si="108"/>
        <v>5</v>
      </c>
      <c r="Q100" s="358">
        <f t="shared" si="63"/>
        <v>5.5</v>
      </c>
      <c r="R100" s="359">
        <f t="shared" ref="R100:CR100" si="129">R75/R$80</f>
        <v>4.615384615384615</v>
      </c>
      <c r="S100" s="358">
        <f t="shared" si="64"/>
        <v>5.0769230769230766</v>
      </c>
      <c r="T100" s="359">
        <f t="shared" si="129"/>
        <v>12</v>
      </c>
      <c r="U100" s="358">
        <f t="shared" si="65"/>
        <v>13.2</v>
      </c>
      <c r="V100" s="359">
        <f t="shared" si="129"/>
        <v>4</v>
      </c>
      <c r="W100" s="358">
        <f t="shared" si="66"/>
        <v>4.4000000000000004</v>
      </c>
      <c r="X100" s="359">
        <f t="shared" si="129"/>
        <v>5.4545454545454541</v>
      </c>
      <c r="Y100" s="358">
        <f t="shared" si="67"/>
        <v>6</v>
      </c>
      <c r="Z100" s="359">
        <f t="shared" si="129"/>
        <v>0.66666666666666663</v>
      </c>
      <c r="AA100" s="358">
        <f t="shared" si="68"/>
        <v>0.73333333333333328</v>
      </c>
      <c r="AB100" s="359">
        <f t="shared" si="129"/>
        <v>0.06</v>
      </c>
      <c r="AC100" s="358">
        <f t="shared" si="69"/>
        <v>6.6000000000000003E-2</v>
      </c>
      <c r="AD100" s="359">
        <f t="shared" si="129"/>
        <v>0.21897810218978103</v>
      </c>
      <c r="AE100" s="358">
        <f t="shared" si="70"/>
        <v>0.24087591240875914</v>
      </c>
      <c r="AF100" s="359">
        <f t="shared" si="129"/>
        <v>0.42857142857142855</v>
      </c>
      <c r="AG100" s="358">
        <f t="shared" si="71"/>
        <v>0.47142857142857142</v>
      </c>
      <c r="AH100" s="359">
        <f t="shared" si="129"/>
        <v>15</v>
      </c>
      <c r="AI100" s="358">
        <f t="shared" si="72"/>
        <v>16.5</v>
      </c>
      <c r="AJ100" s="359">
        <f t="shared" si="129"/>
        <v>0.62827225130890052</v>
      </c>
      <c r="AK100" s="358">
        <f t="shared" si="73"/>
        <v>0.69109947643979053</v>
      </c>
      <c r="AL100" s="359">
        <f t="shared" si="129"/>
        <v>0.5714285714285714</v>
      </c>
      <c r="AM100" s="358">
        <f t="shared" si="74"/>
        <v>0.62857142857142856</v>
      </c>
      <c r="AN100" s="359">
        <f t="shared" si="129"/>
        <v>8.3333333333333329E-2</v>
      </c>
      <c r="AO100" s="358">
        <f t="shared" si="75"/>
        <v>9.166666666666666E-2</v>
      </c>
      <c r="AP100" s="359">
        <f t="shared" si="129"/>
        <v>0.11494252873563218</v>
      </c>
      <c r="AQ100" s="358">
        <f t="shared" si="76"/>
        <v>0.12643678160919541</v>
      </c>
      <c r="AR100" s="359">
        <f t="shared" si="129"/>
        <v>0.5714285714285714</v>
      </c>
      <c r="AS100" s="358">
        <f t="shared" si="77"/>
        <v>0.62857142857142856</v>
      </c>
      <c r="AT100" s="359">
        <f t="shared" si="129"/>
        <v>0.63157894736842102</v>
      </c>
      <c r="AU100" s="358">
        <f t="shared" si="78"/>
        <v>0.69473684210526321</v>
      </c>
      <c r="AV100" s="359">
        <f t="shared" si="129"/>
        <v>0.125</v>
      </c>
      <c r="AW100" s="358">
        <f t="shared" si="79"/>
        <v>0.13750000000000001</v>
      </c>
      <c r="AX100" s="359">
        <f t="shared" si="129"/>
        <v>1.5</v>
      </c>
      <c r="AY100" s="358">
        <f t="shared" si="80"/>
        <v>1.65</v>
      </c>
      <c r="AZ100" s="359">
        <f t="shared" si="129"/>
        <v>0.5</v>
      </c>
      <c r="BA100" s="358">
        <f t="shared" si="81"/>
        <v>0.55000000000000004</v>
      </c>
      <c r="BB100" s="359">
        <f t="shared" si="129"/>
        <v>0.125</v>
      </c>
      <c r="BC100" s="358">
        <f t="shared" si="82"/>
        <v>0.13750000000000001</v>
      </c>
      <c r="BD100" s="359">
        <f t="shared" si="129"/>
        <v>0.8</v>
      </c>
      <c r="BE100" s="358">
        <f t="shared" si="83"/>
        <v>0.88</v>
      </c>
      <c r="BF100" s="359">
        <f t="shared" si="129"/>
        <v>0.76923076923076927</v>
      </c>
      <c r="BG100" s="358">
        <f t="shared" si="84"/>
        <v>0.84615384615384615</v>
      </c>
      <c r="BH100" s="359">
        <f t="shared" si="129"/>
        <v>0.36</v>
      </c>
      <c r="BI100" s="358">
        <f t="shared" si="85"/>
        <v>0.39600000000000002</v>
      </c>
      <c r="BJ100" s="359">
        <f t="shared" si="129"/>
        <v>0.1875</v>
      </c>
      <c r="BK100" s="358">
        <f t="shared" si="86"/>
        <v>0.20624999999999999</v>
      </c>
      <c r="BL100" s="359">
        <f t="shared" si="129"/>
        <v>0.19672131147540983</v>
      </c>
      <c r="BM100" s="358">
        <f t="shared" si="87"/>
        <v>0.21639344262295082</v>
      </c>
      <c r="BN100" s="359">
        <f t="shared" si="129"/>
        <v>4.6875E-2</v>
      </c>
      <c r="BO100" s="358">
        <f t="shared" si="88"/>
        <v>5.1562499999999997E-2</v>
      </c>
      <c r="BP100" s="359">
        <f t="shared" si="129"/>
        <v>0.23076923076923078</v>
      </c>
      <c r="BQ100" s="358">
        <f t="shared" si="89"/>
        <v>0.25384615384615383</v>
      </c>
      <c r="BR100" s="359">
        <f t="shared" si="129"/>
        <v>0.13043478260869565</v>
      </c>
      <c r="BS100" s="358">
        <f t="shared" si="90"/>
        <v>0.14347826086956522</v>
      </c>
      <c r="BT100" s="357">
        <f t="shared" si="129"/>
        <v>0.21428571428571427</v>
      </c>
      <c r="BU100" s="358">
        <f t="shared" si="91"/>
        <v>0.23571428571428571</v>
      </c>
      <c r="BV100" s="359">
        <f t="shared" si="129"/>
        <v>8.9552238805970144E-2</v>
      </c>
      <c r="BW100" s="358">
        <f t="shared" si="92"/>
        <v>9.8507462686567168E-2</v>
      </c>
      <c r="BX100" s="359">
        <f t="shared" si="129"/>
        <v>7.03125E-2</v>
      </c>
      <c r="BY100" s="358">
        <f t="shared" si="93"/>
        <v>7.7343750000000003E-2</v>
      </c>
      <c r="BZ100" s="357">
        <f t="shared" si="129"/>
        <v>0.1875</v>
      </c>
      <c r="CA100" s="358">
        <f t="shared" si="94"/>
        <v>0.20624999999999999</v>
      </c>
      <c r="CB100" s="359">
        <f t="shared" si="129"/>
        <v>2.1126760563380281E-2</v>
      </c>
      <c r="CC100" s="358">
        <f t="shared" si="95"/>
        <v>2.323943661971831E-2</v>
      </c>
      <c r="CD100" s="359">
        <f t="shared" si="129"/>
        <v>3.5294117647058823E-2</v>
      </c>
      <c r="CE100" s="358">
        <f t="shared" si="96"/>
        <v>3.8823529411764708E-2</v>
      </c>
      <c r="CF100" s="359">
        <f t="shared" si="129"/>
        <v>0.6</v>
      </c>
      <c r="CG100" s="358">
        <f t="shared" si="97"/>
        <v>0.66</v>
      </c>
      <c r="CH100" s="357">
        <f t="shared" si="129"/>
        <v>0.15463917525773196</v>
      </c>
      <c r="CI100" s="358">
        <f t="shared" si="98"/>
        <v>0.17010309278350516</v>
      </c>
      <c r="CJ100" s="359">
        <f t="shared" si="129"/>
        <v>0.17857142857142858</v>
      </c>
      <c r="CK100" s="358">
        <f t="shared" si="99"/>
        <v>0.19642857142857142</v>
      </c>
      <c r="CL100" s="359">
        <f t="shared" si="129"/>
        <v>0.3</v>
      </c>
      <c r="CM100" s="358">
        <f t="shared" si="100"/>
        <v>0.33</v>
      </c>
      <c r="CN100" s="357">
        <f t="shared" si="129"/>
        <v>5.7142857142857141E-2</v>
      </c>
      <c r="CO100" s="358">
        <f t="shared" si="101"/>
        <v>6.2857142857142861E-2</v>
      </c>
      <c r="CP100" s="359">
        <f t="shared" si="129"/>
        <v>7.5</v>
      </c>
      <c r="CQ100" s="358">
        <f t="shared" si="102"/>
        <v>8.25</v>
      </c>
      <c r="CR100" s="359">
        <f t="shared" si="129"/>
        <v>6.0000000000000001E-3</v>
      </c>
      <c r="CS100" s="366">
        <f t="shared" si="103"/>
        <v>6.6E-3</v>
      </c>
    </row>
    <row r="101" spans="1:97" s="25" customFormat="1">
      <c r="A101" s="25" t="s">
        <v>200</v>
      </c>
      <c r="B101" s="238">
        <v>150</v>
      </c>
      <c r="C101" s="238">
        <v>165</v>
      </c>
      <c r="D101" s="344">
        <f t="shared" si="126"/>
        <v>450</v>
      </c>
      <c r="E101" s="345">
        <f t="shared" si="104"/>
        <v>472.5</v>
      </c>
      <c r="F101" s="347">
        <f t="shared" si="127"/>
        <v>495</v>
      </c>
      <c r="H101" s="357">
        <f t="shared" si="105"/>
        <v>30</v>
      </c>
      <c r="I101" s="358">
        <f t="shared" si="106"/>
        <v>33</v>
      </c>
      <c r="J101" s="359">
        <f t="shared" si="105"/>
        <v>30</v>
      </c>
      <c r="K101" s="358">
        <f t="shared" si="106"/>
        <v>33</v>
      </c>
      <c r="L101" s="359">
        <f t="shared" si="59"/>
        <v>9</v>
      </c>
      <c r="M101" s="358">
        <f t="shared" si="60"/>
        <v>9.9</v>
      </c>
      <c r="N101" s="359">
        <f t="shared" si="107"/>
        <v>45</v>
      </c>
      <c r="O101" s="358">
        <f t="shared" si="62"/>
        <v>49.5</v>
      </c>
      <c r="P101" s="359">
        <f t="shared" si="108"/>
        <v>3.75</v>
      </c>
      <c r="Q101" s="358">
        <f t="shared" si="63"/>
        <v>4.125</v>
      </c>
      <c r="R101" s="359">
        <f t="shared" ref="R101:CR101" si="130">R76/R$80</f>
        <v>3.4615384615384617</v>
      </c>
      <c r="S101" s="358">
        <f t="shared" si="64"/>
        <v>3.8076923076923075</v>
      </c>
      <c r="T101" s="359">
        <f t="shared" si="130"/>
        <v>9</v>
      </c>
      <c r="U101" s="358">
        <f t="shared" si="65"/>
        <v>9.9</v>
      </c>
      <c r="V101" s="359">
        <f t="shared" si="130"/>
        <v>3</v>
      </c>
      <c r="W101" s="358">
        <f t="shared" si="66"/>
        <v>3.3</v>
      </c>
      <c r="X101" s="359">
        <f t="shared" si="130"/>
        <v>4.0909090909090908</v>
      </c>
      <c r="Y101" s="358">
        <f t="shared" si="67"/>
        <v>4.5</v>
      </c>
      <c r="Z101" s="359">
        <f t="shared" si="130"/>
        <v>0.5</v>
      </c>
      <c r="AA101" s="358">
        <f t="shared" si="68"/>
        <v>0.55000000000000004</v>
      </c>
      <c r="AB101" s="359">
        <f t="shared" si="130"/>
        <v>4.4999999999999998E-2</v>
      </c>
      <c r="AC101" s="358">
        <f t="shared" si="69"/>
        <v>4.9500000000000002E-2</v>
      </c>
      <c r="AD101" s="359">
        <f t="shared" si="130"/>
        <v>0.65693430656934304</v>
      </c>
      <c r="AE101" s="358">
        <f t="shared" si="70"/>
        <v>0.72262773722627738</v>
      </c>
      <c r="AF101" s="359">
        <f t="shared" si="130"/>
        <v>0.32142857142857145</v>
      </c>
      <c r="AG101" s="358">
        <f t="shared" si="71"/>
        <v>0.35357142857142859</v>
      </c>
      <c r="AH101" s="359">
        <f t="shared" si="130"/>
        <v>3.75</v>
      </c>
      <c r="AI101" s="358">
        <f t="shared" si="72"/>
        <v>4.125</v>
      </c>
      <c r="AJ101" s="359">
        <f t="shared" si="130"/>
        <v>0.47120418848167539</v>
      </c>
      <c r="AK101" s="358">
        <f t="shared" si="73"/>
        <v>0.51832460732984298</v>
      </c>
      <c r="AL101" s="359">
        <f t="shared" si="130"/>
        <v>0.42857142857142855</v>
      </c>
      <c r="AM101" s="358">
        <f t="shared" si="74"/>
        <v>0.47142857142857142</v>
      </c>
      <c r="AN101" s="359">
        <f t="shared" si="130"/>
        <v>0.25</v>
      </c>
      <c r="AO101" s="358">
        <f t="shared" si="75"/>
        <v>0.27500000000000002</v>
      </c>
      <c r="AP101" s="359">
        <f t="shared" si="130"/>
        <v>0.34482758620689657</v>
      </c>
      <c r="AQ101" s="358">
        <f t="shared" si="76"/>
        <v>0.37931034482758619</v>
      </c>
      <c r="AR101" s="359">
        <f t="shared" si="130"/>
        <v>0.42857142857142855</v>
      </c>
      <c r="AS101" s="358">
        <f t="shared" si="77"/>
        <v>0.47142857142857142</v>
      </c>
      <c r="AT101" s="359">
        <f t="shared" si="130"/>
        <v>0.47368421052631576</v>
      </c>
      <c r="AU101" s="358">
        <f t="shared" si="78"/>
        <v>0.52105263157894732</v>
      </c>
      <c r="AV101" s="359">
        <f t="shared" si="130"/>
        <v>0.375</v>
      </c>
      <c r="AW101" s="358">
        <f t="shared" si="79"/>
        <v>0.41249999999999998</v>
      </c>
      <c r="AX101" s="359">
        <f t="shared" si="130"/>
        <v>0.375</v>
      </c>
      <c r="AY101" s="358">
        <f t="shared" si="80"/>
        <v>0.41249999999999998</v>
      </c>
      <c r="AZ101" s="359">
        <f t="shared" si="130"/>
        <v>0.375</v>
      </c>
      <c r="BA101" s="358">
        <f t="shared" si="81"/>
        <v>0.41249999999999998</v>
      </c>
      <c r="BB101" s="359">
        <f t="shared" si="130"/>
        <v>0.375</v>
      </c>
      <c r="BC101" s="358">
        <f t="shared" si="82"/>
        <v>0.41249999999999998</v>
      </c>
      <c r="BD101" s="359">
        <f t="shared" si="130"/>
        <v>0.6</v>
      </c>
      <c r="BE101" s="358">
        <f t="shared" si="83"/>
        <v>0.66</v>
      </c>
      <c r="BF101" s="359">
        <f t="shared" si="130"/>
        <v>0.57692307692307687</v>
      </c>
      <c r="BG101" s="358">
        <f t="shared" si="84"/>
        <v>0.63461538461538458</v>
      </c>
      <c r="BH101" s="359">
        <f t="shared" si="130"/>
        <v>0.09</v>
      </c>
      <c r="BI101" s="358">
        <f t="shared" si="85"/>
        <v>9.9000000000000005E-2</v>
      </c>
      <c r="BJ101" s="359">
        <f t="shared" si="130"/>
        <v>0.140625</v>
      </c>
      <c r="BK101" s="358">
        <f t="shared" si="86"/>
        <v>0.15468750000000001</v>
      </c>
      <c r="BL101" s="359">
        <f t="shared" si="130"/>
        <v>0.14754098360655737</v>
      </c>
      <c r="BM101" s="358">
        <f t="shared" si="87"/>
        <v>0.16229508196721312</v>
      </c>
      <c r="BN101" s="359">
        <f t="shared" si="130"/>
        <v>0.140625</v>
      </c>
      <c r="BO101" s="358">
        <f t="shared" si="88"/>
        <v>0.15468750000000001</v>
      </c>
      <c r="BP101" s="359">
        <f t="shared" si="130"/>
        <v>0.17307692307692307</v>
      </c>
      <c r="BQ101" s="358">
        <f t="shared" si="89"/>
        <v>0.19038461538461537</v>
      </c>
      <c r="BR101" s="359">
        <f t="shared" si="130"/>
        <v>9.7826086956521743E-2</v>
      </c>
      <c r="BS101" s="358">
        <f t="shared" si="90"/>
        <v>0.10760869565217392</v>
      </c>
      <c r="BT101" s="357">
        <f t="shared" si="130"/>
        <v>0.16071428571428573</v>
      </c>
      <c r="BU101" s="358">
        <f t="shared" si="91"/>
        <v>0.1767857142857143</v>
      </c>
      <c r="BV101" s="359">
        <f t="shared" si="130"/>
        <v>6.7164179104477612E-2</v>
      </c>
      <c r="BW101" s="358">
        <f t="shared" si="92"/>
        <v>7.3880597014925373E-2</v>
      </c>
      <c r="BX101" s="359">
        <f t="shared" si="130"/>
        <v>7.03125E-2</v>
      </c>
      <c r="BY101" s="358">
        <f t="shared" si="93"/>
        <v>7.7343750000000003E-2</v>
      </c>
      <c r="BZ101" s="357">
        <f t="shared" si="130"/>
        <v>0.5625</v>
      </c>
      <c r="CA101" s="358">
        <f t="shared" si="94"/>
        <v>0.61875000000000002</v>
      </c>
      <c r="CB101" s="359">
        <f t="shared" si="130"/>
        <v>6.3380281690140844E-2</v>
      </c>
      <c r="CC101" s="358">
        <f t="shared" si="95"/>
        <v>6.9718309859154934E-2</v>
      </c>
      <c r="CD101" s="359">
        <f t="shared" si="130"/>
        <v>2.6470588235294117E-2</v>
      </c>
      <c r="CE101" s="358">
        <f t="shared" si="96"/>
        <v>2.9117647058823529E-2</v>
      </c>
      <c r="CF101" s="359">
        <f t="shared" si="130"/>
        <v>0.45</v>
      </c>
      <c r="CG101" s="358">
        <f t="shared" si="97"/>
        <v>0.495</v>
      </c>
      <c r="CH101" s="357">
        <f t="shared" si="130"/>
        <v>0.46391752577319589</v>
      </c>
      <c r="CI101" s="358">
        <f t="shared" si="98"/>
        <v>0.51030927835051543</v>
      </c>
      <c r="CJ101" s="359">
        <f t="shared" si="130"/>
        <v>0.5357142857142857</v>
      </c>
      <c r="CK101" s="358">
        <f t="shared" si="99"/>
        <v>0.5892857142857143</v>
      </c>
      <c r="CL101" s="359">
        <f t="shared" si="130"/>
        <v>0.22500000000000001</v>
      </c>
      <c r="CM101" s="358">
        <f t="shared" si="100"/>
        <v>0.2475</v>
      </c>
      <c r="CN101" s="357">
        <f t="shared" si="130"/>
        <v>4.2857142857142858E-2</v>
      </c>
      <c r="CO101" s="358">
        <f t="shared" si="101"/>
        <v>4.7142857142857146E-2</v>
      </c>
      <c r="CP101" s="359">
        <f t="shared" si="130"/>
        <v>5.625</v>
      </c>
      <c r="CQ101" s="358">
        <f t="shared" si="102"/>
        <v>6.1875</v>
      </c>
      <c r="CR101" s="359">
        <f t="shared" si="130"/>
        <v>4.4999999999999997E-3</v>
      </c>
      <c r="CS101" s="366">
        <f t="shared" si="103"/>
        <v>4.9500000000000004E-3</v>
      </c>
    </row>
    <row r="102" spans="1:97" s="25" customFormat="1">
      <c r="A102" s="27" t="s">
        <v>215</v>
      </c>
      <c r="B102" s="326">
        <v>100</v>
      </c>
      <c r="C102" s="326">
        <v>220</v>
      </c>
      <c r="D102" s="351">
        <f>ROUNDDOWN(B102*(1+$D$53*0.1),0)</f>
        <v>300</v>
      </c>
      <c r="E102" s="352">
        <f t="shared" si="104"/>
        <v>480</v>
      </c>
      <c r="F102" s="353">
        <f>C102*(1+$D$53*0.1)</f>
        <v>660</v>
      </c>
      <c r="G102" s="27"/>
      <c r="H102" s="360">
        <f t="shared" si="105"/>
        <v>20</v>
      </c>
      <c r="I102" s="361">
        <f t="shared" si="106"/>
        <v>44</v>
      </c>
      <c r="J102" s="362">
        <f t="shared" si="105"/>
        <v>20</v>
      </c>
      <c r="K102" s="361">
        <f t="shared" si="106"/>
        <v>44</v>
      </c>
      <c r="L102" s="362">
        <f t="shared" si="59"/>
        <v>6</v>
      </c>
      <c r="M102" s="361">
        <f t="shared" si="60"/>
        <v>13.2</v>
      </c>
      <c r="N102" s="362">
        <f t="shared" si="107"/>
        <v>30</v>
      </c>
      <c r="O102" s="361">
        <f t="shared" si="62"/>
        <v>66</v>
      </c>
      <c r="P102" s="362">
        <f t="shared" si="108"/>
        <v>2.5</v>
      </c>
      <c r="Q102" s="361">
        <f t="shared" si="63"/>
        <v>5.5</v>
      </c>
      <c r="R102" s="362">
        <f t="shared" ref="R102:CR102" si="131">R77/R$80</f>
        <v>2.3076923076923075</v>
      </c>
      <c r="S102" s="361">
        <f t="shared" si="64"/>
        <v>5.0769230769230766</v>
      </c>
      <c r="T102" s="362">
        <f t="shared" si="131"/>
        <v>6</v>
      </c>
      <c r="U102" s="361">
        <f t="shared" si="65"/>
        <v>13.2</v>
      </c>
      <c r="V102" s="362">
        <f t="shared" si="131"/>
        <v>2</v>
      </c>
      <c r="W102" s="361">
        <f t="shared" si="66"/>
        <v>4.4000000000000004</v>
      </c>
      <c r="X102" s="362">
        <f t="shared" si="131"/>
        <v>2.7272727272727271</v>
      </c>
      <c r="Y102" s="361">
        <f t="shared" si="67"/>
        <v>6</v>
      </c>
      <c r="Z102" s="362">
        <f t="shared" si="131"/>
        <v>0.33333333333333331</v>
      </c>
      <c r="AA102" s="361">
        <f t="shared" si="68"/>
        <v>0.73333333333333328</v>
      </c>
      <c r="AB102" s="362">
        <f t="shared" si="131"/>
        <v>0.03</v>
      </c>
      <c r="AC102" s="361">
        <f t="shared" si="69"/>
        <v>6.6000000000000003E-2</v>
      </c>
      <c r="AD102" s="362">
        <f t="shared" si="131"/>
        <v>0.43795620437956206</v>
      </c>
      <c r="AE102" s="361">
        <f t="shared" si="70"/>
        <v>0.96350364963503654</v>
      </c>
      <c r="AF102" s="362">
        <f t="shared" si="131"/>
        <v>0.21428571428571427</v>
      </c>
      <c r="AG102" s="361">
        <f t="shared" si="71"/>
        <v>0.47142857142857142</v>
      </c>
      <c r="AH102" s="362">
        <f t="shared" si="131"/>
        <v>2.5</v>
      </c>
      <c r="AI102" s="361">
        <f t="shared" si="72"/>
        <v>5.5</v>
      </c>
      <c r="AJ102" s="362">
        <f t="shared" si="131"/>
        <v>0.31413612565445026</v>
      </c>
      <c r="AK102" s="361">
        <f t="shared" si="73"/>
        <v>0.69109947643979053</v>
      </c>
      <c r="AL102" s="362">
        <f t="shared" si="131"/>
        <v>0.2857142857142857</v>
      </c>
      <c r="AM102" s="361">
        <f t="shared" si="74"/>
        <v>0.62857142857142856</v>
      </c>
      <c r="AN102" s="362">
        <f t="shared" si="131"/>
        <v>0.16666666666666666</v>
      </c>
      <c r="AO102" s="361">
        <f t="shared" si="75"/>
        <v>0.36666666666666664</v>
      </c>
      <c r="AP102" s="362">
        <f t="shared" si="131"/>
        <v>0.22988505747126436</v>
      </c>
      <c r="AQ102" s="361">
        <f t="shared" si="76"/>
        <v>0.50574712643678166</v>
      </c>
      <c r="AR102" s="362">
        <f t="shared" si="131"/>
        <v>0.2857142857142857</v>
      </c>
      <c r="AS102" s="361">
        <f t="shared" si="77"/>
        <v>0.62857142857142856</v>
      </c>
      <c r="AT102" s="362">
        <f t="shared" si="131"/>
        <v>0.31578947368421051</v>
      </c>
      <c r="AU102" s="361">
        <f t="shared" si="78"/>
        <v>0.69473684210526321</v>
      </c>
      <c r="AV102" s="362">
        <f t="shared" si="131"/>
        <v>0.25</v>
      </c>
      <c r="AW102" s="361">
        <f t="shared" si="79"/>
        <v>0.55000000000000004</v>
      </c>
      <c r="AX102" s="362">
        <f t="shared" si="131"/>
        <v>0.25</v>
      </c>
      <c r="AY102" s="361">
        <f t="shared" si="80"/>
        <v>0.55000000000000004</v>
      </c>
      <c r="AZ102" s="362">
        <f t="shared" si="131"/>
        <v>0.25</v>
      </c>
      <c r="BA102" s="361">
        <f t="shared" si="81"/>
        <v>0.55000000000000004</v>
      </c>
      <c r="BB102" s="362">
        <f t="shared" si="131"/>
        <v>0.25</v>
      </c>
      <c r="BC102" s="361">
        <f t="shared" si="82"/>
        <v>0.55000000000000004</v>
      </c>
      <c r="BD102" s="362">
        <f t="shared" si="131"/>
        <v>0.4</v>
      </c>
      <c r="BE102" s="361">
        <f t="shared" si="83"/>
        <v>0.88</v>
      </c>
      <c r="BF102" s="362">
        <f t="shared" si="131"/>
        <v>0.38461538461538464</v>
      </c>
      <c r="BG102" s="361">
        <f t="shared" si="84"/>
        <v>0.84615384615384615</v>
      </c>
      <c r="BH102" s="362">
        <f t="shared" si="131"/>
        <v>0.06</v>
      </c>
      <c r="BI102" s="361">
        <f t="shared" si="85"/>
        <v>0.13200000000000001</v>
      </c>
      <c r="BJ102" s="362">
        <f t="shared" si="131"/>
        <v>9.375E-2</v>
      </c>
      <c r="BK102" s="361">
        <f t="shared" si="86"/>
        <v>0.20624999999999999</v>
      </c>
      <c r="BL102" s="362">
        <f t="shared" si="131"/>
        <v>9.8360655737704916E-2</v>
      </c>
      <c r="BM102" s="361">
        <f t="shared" si="87"/>
        <v>0.21639344262295082</v>
      </c>
      <c r="BN102" s="362">
        <f t="shared" si="131"/>
        <v>9.375E-2</v>
      </c>
      <c r="BO102" s="361">
        <f t="shared" si="88"/>
        <v>0.20624999999999999</v>
      </c>
      <c r="BP102" s="362">
        <f t="shared" si="131"/>
        <v>0.11538461538461539</v>
      </c>
      <c r="BQ102" s="361">
        <f t="shared" si="89"/>
        <v>0.25384615384615383</v>
      </c>
      <c r="BR102" s="362">
        <f t="shared" si="131"/>
        <v>6.5217391304347824E-2</v>
      </c>
      <c r="BS102" s="361">
        <f t="shared" si="90"/>
        <v>0.14347826086956522</v>
      </c>
      <c r="BT102" s="360">
        <f t="shared" si="131"/>
        <v>0.10714285714285714</v>
      </c>
      <c r="BU102" s="361">
        <f t="shared" si="91"/>
        <v>0.23571428571428571</v>
      </c>
      <c r="BV102" s="362">
        <f t="shared" si="131"/>
        <v>4.4776119402985072E-2</v>
      </c>
      <c r="BW102" s="361">
        <f t="shared" si="92"/>
        <v>9.8507462686567168E-2</v>
      </c>
      <c r="BX102" s="362">
        <f t="shared" si="131"/>
        <v>4.6875E-2</v>
      </c>
      <c r="BY102" s="361">
        <f t="shared" si="93"/>
        <v>0.10312499999999999</v>
      </c>
      <c r="BZ102" s="360">
        <f t="shared" si="131"/>
        <v>0.375</v>
      </c>
      <c r="CA102" s="361">
        <f t="shared" si="94"/>
        <v>0.82499999999999996</v>
      </c>
      <c r="CB102" s="362">
        <f t="shared" si="131"/>
        <v>4.2253521126760563E-2</v>
      </c>
      <c r="CC102" s="361">
        <f t="shared" si="95"/>
        <v>9.295774647887324E-2</v>
      </c>
      <c r="CD102" s="362">
        <f t="shared" si="131"/>
        <v>1.7647058823529412E-2</v>
      </c>
      <c r="CE102" s="361">
        <f t="shared" si="96"/>
        <v>3.8823529411764708E-2</v>
      </c>
      <c r="CF102" s="362">
        <f t="shared" si="131"/>
        <v>0.3</v>
      </c>
      <c r="CG102" s="361">
        <f t="shared" si="97"/>
        <v>0.66</v>
      </c>
      <c r="CH102" s="360">
        <f t="shared" si="131"/>
        <v>0.30927835051546393</v>
      </c>
      <c r="CI102" s="361">
        <f t="shared" si="98"/>
        <v>0.68041237113402064</v>
      </c>
      <c r="CJ102" s="362">
        <f t="shared" si="131"/>
        <v>0.35714285714285715</v>
      </c>
      <c r="CK102" s="361">
        <f t="shared" si="99"/>
        <v>0.7857142857142857</v>
      </c>
      <c r="CL102" s="362">
        <f t="shared" si="131"/>
        <v>0.15</v>
      </c>
      <c r="CM102" s="361">
        <f t="shared" si="100"/>
        <v>0.33</v>
      </c>
      <c r="CN102" s="360">
        <f t="shared" si="131"/>
        <v>2.8571428571428571E-2</v>
      </c>
      <c r="CO102" s="361">
        <f t="shared" si="101"/>
        <v>6.2857142857142861E-2</v>
      </c>
      <c r="CP102" s="362">
        <f t="shared" si="131"/>
        <v>3.75</v>
      </c>
      <c r="CQ102" s="361">
        <f t="shared" si="102"/>
        <v>8.25</v>
      </c>
      <c r="CR102" s="362">
        <f t="shared" si="131"/>
        <v>3.0000000000000001E-3</v>
      </c>
      <c r="CS102" s="367">
        <f t="shared" si="103"/>
        <v>6.6E-3</v>
      </c>
    </row>
  </sheetData>
  <mergeCells count="1009">
    <mergeCell ref="AV40:AW40"/>
    <mergeCell ref="AX40:AY40"/>
    <mergeCell ref="AZ40:BA40"/>
    <mergeCell ref="BB40:BC40"/>
    <mergeCell ref="BD40:BE40"/>
    <mergeCell ref="BF40:BG40"/>
    <mergeCell ref="BH40:BI40"/>
    <mergeCell ref="BJ40:BK40"/>
    <mergeCell ref="CD40:CE40"/>
    <mergeCell ref="CF40:CG40"/>
    <mergeCell ref="CH40:CI40"/>
    <mergeCell ref="AP40:AQ40"/>
    <mergeCell ref="AR40:AS40"/>
    <mergeCell ref="CJ40:CK40"/>
    <mergeCell ref="CL40:CM40"/>
    <mergeCell ref="CN40:CO40"/>
    <mergeCell ref="CP40:CQ40"/>
    <mergeCell ref="CR40:CS40"/>
    <mergeCell ref="BL40:BM40"/>
    <mergeCell ref="BN40:BO40"/>
    <mergeCell ref="BP40:BQ40"/>
    <mergeCell ref="BR40:BS40"/>
    <mergeCell ref="BT40:BU40"/>
    <mergeCell ref="BV40:BW40"/>
    <mergeCell ref="BX40:BY40"/>
    <mergeCell ref="BZ40:CA40"/>
    <mergeCell ref="CB40:CC40"/>
    <mergeCell ref="CJ39:CK39"/>
    <mergeCell ref="CL39:CM39"/>
    <mergeCell ref="CN39:CO39"/>
    <mergeCell ref="CP39:CQ39"/>
    <mergeCell ref="CR39:CS39"/>
    <mergeCell ref="BR39:BS39"/>
    <mergeCell ref="BT39:BU39"/>
    <mergeCell ref="BV39:BW39"/>
    <mergeCell ref="BX39:BY39"/>
    <mergeCell ref="BZ39:CA39"/>
    <mergeCell ref="CB39:CC39"/>
    <mergeCell ref="CD39:CE39"/>
    <mergeCell ref="CF39:CG39"/>
    <mergeCell ref="CH39:CI39"/>
    <mergeCell ref="BN39:BO39"/>
    <mergeCell ref="BP39:BQ39"/>
    <mergeCell ref="AP39:AQ39"/>
    <mergeCell ref="AR39:AS39"/>
    <mergeCell ref="AT39:AU39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AF40:AG40"/>
    <mergeCell ref="AH40:AI40"/>
    <mergeCell ref="AJ40:AK40"/>
    <mergeCell ref="AL40:AM40"/>
    <mergeCell ref="AN40:AO40"/>
    <mergeCell ref="AT40:AU40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AL39:AM39"/>
    <mergeCell ref="AN39:AO39"/>
    <mergeCell ref="AX39:AY39"/>
    <mergeCell ref="BX38:BY38"/>
    <mergeCell ref="BZ38:CA38"/>
    <mergeCell ref="CB38:CC38"/>
    <mergeCell ref="CD38:CE38"/>
    <mergeCell ref="CF38:CG38"/>
    <mergeCell ref="CH38:CI38"/>
    <mergeCell ref="CJ38:CK38"/>
    <mergeCell ref="CL38:CM38"/>
    <mergeCell ref="CN38:CO38"/>
    <mergeCell ref="BF38:BG38"/>
    <mergeCell ref="BH38:BI38"/>
    <mergeCell ref="BJ38:BK38"/>
    <mergeCell ref="BL38:BM38"/>
    <mergeCell ref="BN38:BO38"/>
    <mergeCell ref="BP38:BQ38"/>
    <mergeCell ref="BR38:BS38"/>
    <mergeCell ref="BT38:BU38"/>
    <mergeCell ref="BV38:BW38"/>
    <mergeCell ref="AZ39:BA39"/>
    <mergeCell ref="BB39:BC39"/>
    <mergeCell ref="BD39:BE39"/>
    <mergeCell ref="BF39:BG39"/>
    <mergeCell ref="BH39:BI39"/>
    <mergeCell ref="BJ39:BK39"/>
    <mergeCell ref="BL39:BM39"/>
    <mergeCell ref="BB38:BC38"/>
    <mergeCell ref="BD38:BE38"/>
    <mergeCell ref="CD37:CE37"/>
    <mergeCell ref="CF37:CG37"/>
    <mergeCell ref="CH37:CI37"/>
    <mergeCell ref="CJ37:CK37"/>
    <mergeCell ref="AP37:AQ37"/>
    <mergeCell ref="AR37:AS37"/>
    <mergeCell ref="CL37:CM37"/>
    <mergeCell ref="CN37:CO37"/>
    <mergeCell ref="CP37:CQ37"/>
    <mergeCell ref="CR37:CS37"/>
    <mergeCell ref="BN37:BO37"/>
    <mergeCell ref="BP37:BQ37"/>
    <mergeCell ref="BR37:BS37"/>
    <mergeCell ref="BT37:BU37"/>
    <mergeCell ref="BV37:BW37"/>
    <mergeCell ref="BX37:BY37"/>
    <mergeCell ref="BZ37:CA37"/>
    <mergeCell ref="CB37:CC37"/>
    <mergeCell ref="CP38:CQ38"/>
    <mergeCell ref="CR38:CS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AJ38:AK38"/>
    <mergeCell ref="AL38:AM38"/>
    <mergeCell ref="BL37:BM37"/>
    <mergeCell ref="AT37:AU37"/>
    <mergeCell ref="AV37:AW37"/>
    <mergeCell ref="AX37:AY37"/>
    <mergeCell ref="AZ37:BA37"/>
    <mergeCell ref="BB37:BC37"/>
    <mergeCell ref="H37:I37"/>
    <mergeCell ref="J37:K37"/>
    <mergeCell ref="BD37:BE37"/>
    <mergeCell ref="BF37:BG37"/>
    <mergeCell ref="BH37:BI37"/>
    <mergeCell ref="BJ37:BK37"/>
    <mergeCell ref="AN38:AO38"/>
    <mergeCell ref="AP38:AQ38"/>
    <mergeCell ref="AR38:AS38"/>
    <mergeCell ref="AT38:AU38"/>
    <mergeCell ref="L37:M37"/>
    <mergeCell ref="N37:O37"/>
    <mergeCell ref="P37:Q37"/>
    <mergeCell ref="R37:S37"/>
    <mergeCell ref="T37:U37"/>
    <mergeCell ref="V37:W37"/>
    <mergeCell ref="X37:Y37"/>
    <mergeCell ref="Z37:AA37"/>
    <mergeCell ref="AB37:AC37"/>
    <mergeCell ref="AD37:AE37"/>
    <mergeCell ref="AF37:AG37"/>
    <mergeCell ref="AH37:AI37"/>
    <mergeCell ref="AJ37:AK37"/>
    <mergeCell ref="AL37:AM37"/>
    <mergeCell ref="AN37:AO37"/>
    <mergeCell ref="CR35:CS35"/>
    <mergeCell ref="E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F36:AG36"/>
    <mergeCell ref="AH36:AI36"/>
    <mergeCell ref="AJ36:AK36"/>
    <mergeCell ref="AV36:AW36"/>
    <mergeCell ref="AX36:AY36"/>
    <mergeCell ref="BZ35:CA35"/>
    <mergeCell ref="CB35:CC35"/>
    <mergeCell ref="CD35:CE35"/>
    <mergeCell ref="CF35:CG35"/>
    <mergeCell ref="CH35:CI35"/>
    <mergeCell ref="CJ35:CK35"/>
    <mergeCell ref="CL35:CM35"/>
    <mergeCell ref="CN35:CO35"/>
    <mergeCell ref="CP35:CQ35"/>
    <mergeCell ref="BH35:BI35"/>
    <mergeCell ref="BJ35:BK35"/>
    <mergeCell ref="BL35:BM35"/>
    <mergeCell ref="BN35:BO35"/>
    <mergeCell ref="BP35:BQ35"/>
    <mergeCell ref="BR35:BS35"/>
    <mergeCell ref="BT35:BU35"/>
    <mergeCell ref="BV35:BW35"/>
    <mergeCell ref="BX35:BY35"/>
    <mergeCell ref="CH36:CI36"/>
    <mergeCell ref="AZ36:BA36"/>
    <mergeCell ref="BR36:BS36"/>
    <mergeCell ref="BT36:BU36"/>
    <mergeCell ref="BV36:BW36"/>
    <mergeCell ref="BX36:BY36"/>
    <mergeCell ref="BZ36:CA36"/>
    <mergeCell ref="CB36:CC36"/>
    <mergeCell ref="CD36:CE36"/>
    <mergeCell ref="CF36:CG36"/>
    <mergeCell ref="T31:U31"/>
    <mergeCell ref="V31:W31"/>
    <mergeCell ref="X31:Y31"/>
    <mergeCell ref="Z31:AA31"/>
    <mergeCell ref="AB31:AC31"/>
    <mergeCell ref="AD31:AE31"/>
    <mergeCell ref="BB36:BC36"/>
    <mergeCell ref="BD36:BE36"/>
    <mergeCell ref="BF36:BG36"/>
    <mergeCell ref="BH36:BI36"/>
    <mergeCell ref="BJ36:BK36"/>
    <mergeCell ref="BL36:BM36"/>
    <mergeCell ref="BN36:BO36"/>
    <mergeCell ref="BP36:BQ36"/>
    <mergeCell ref="AP35:AQ35"/>
    <mergeCell ref="AR35:AS35"/>
    <mergeCell ref="AT35:AU35"/>
    <mergeCell ref="AV35:AW35"/>
    <mergeCell ref="AX35:AY35"/>
    <mergeCell ref="AZ35:BA35"/>
    <mergeCell ref="BB35:BC35"/>
    <mergeCell ref="BD35:BE35"/>
    <mergeCell ref="BF35:BG35"/>
    <mergeCell ref="AL36:AM36"/>
    <mergeCell ref="AN36:AO36"/>
    <mergeCell ref="AP36:AQ36"/>
    <mergeCell ref="AR36:AS36"/>
    <mergeCell ref="AT36:AU36"/>
    <mergeCell ref="AZ31:BA31"/>
    <mergeCell ref="BB31:BC31"/>
    <mergeCell ref="BD31:BE31"/>
    <mergeCell ref="BF31:BG31"/>
    <mergeCell ref="CR79:CS79"/>
    <mergeCell ref="CR80:CS80"/>
    <mergeCell ref="CD79:CE79"/>
    <mergeCell ref="CD80:CE80"/>
    <mergeCell ref="CF79:CG79"/>
    <mergeCell ref="CF80:CG80"/>
    <mergeCell ref="CH79:CI79"/>
    <mergeCell ref="CH80:CI80"/>
    <mergeCell ref="CJ79:CK79"/>
    <mergeCell ref="CJ80:CK80"/>
    <mergeCell ref="CL79:CM79"/>
    <mergeCell ref="CL80:CM80"/>
    <mergeCell ref="BT79:BU79"/>
    <mergeCell ref="BT80:BU80"/>
    <mergeCell ref="BV79:BW79"/>
    <mergeCell ref="BV80:BW80"/>
    <mergeCell ref="BX79:BY79"/>
    <mergeCell ref="BX80:BY80"/>
    <mergeCell ref="BZ79:CA79"/>
    <mergeCell ref="BZ80:CA80"/>
    <mergeCell ref="CB79:CC79"/>
    <mergeCell ref="CB80:CC80"/>
    <mergeCell ref="BB80:BC80"/>
    <mergeCell ref="BD79:BE79"/>
    <mergeCell ref="BD80:BE80"/>
    <mergeCell ref="BF79:BG79"/>
    <mergeCell ref="BF80:BG80"/>
    <mergeCell ref="BH79:BI79"/>
    <mergeCell ref="BH80:BI80"/>
    <mergeCell ref="AL35:AM35"/>
    <mergeCell ref="AN35:AO35"/>
    <mergeCell ref="AR28:AS28"/>
    <mergeCell ref="AT28:AU28"/>
    <mergeCell ref="AV28:AW28"/>
    <mergeCell ref="AB28:AC28"/>
    <mergeCell ref="CN79:CO79"/>
    <mergeCell ref="CN80:CO80"/>
    <mergeCell ref="CP79:CQ79"/>
    <mergeCell ref="CP80:CQ80"/>
    <mergeCell ref="AB35:AC35"/>
    <mergeCell ref="AD35:AE35"/>
    <mergeCell ref="AF35:AG35"/>
    <mergeCell ref="AH35:AI35"/>
    <mergeCell ref="AJ35:AK35"/>
    <mergeCell ref="AF28:AG28"/>
    <mergeCell ref="AH28:AI28"/>
    <mergeCell ref="AJ28:AK28"/>
    <mergeCell ref="CJ36:CK36"/>
    <mergeCell ref="CL36:CM36"/>
    <mergeCell ref="CN36:CO36"/>
    <mergeCell ref="CP36:CQ36"/>
    <mergeCell ref="AV38:AW38"/>
    <mergeCell ref="AX38:AY38"/>
    <mergeCell ref="AZ38:BA38"/>
    <mergeCell ref="V81:W81"/>
    <mergeCell ref="X81:Y81"/>
    <mergeCell ref="Z81:AA81"/>
    <mergeCell ref="Z28:AA28"/>
    <mergeCell ref="AP79:AQ79"/>
    <mergeCell ref="AP80:AQ80"/>
    <mergeCell ref="AR79:AS79"/>
    <mergeCell ref="AR80:AS80"/>
    <mergeCell ref="AT79:AU79"/>
    <mergeCell ref="AT80:AU80"/>
    <mergeCell ref="AV79:AW79"/>
    <mergeCell ref="AV80:AW80"/>
    <mergeCell ref="AX79:AY79"/>
    <mergeCell ref="AX80:AY80"/>
    <mergeCell ref="AB79:AC79"/>
    <mergeCell ref="AB80:AC80"/>
    <mergeCell ref="AD79:AE79"/>
    <mergeCell ref="AD80:AE80"/>
    <mergeCell ref="AF79:AG79"/>
    <mergeCell ref="AF80:AG80"/>
    <mergeCell ref="AL79:AM79"/>
    <mergeCell ref="AL80:AM80"/>
    <mergeCell ref="AN79:AO79"/>
    <mergeCell ref="AN80:AO80"/>
    <mergeCell ref="AH79:AI79"/>
    <mergeCell ref="AH80:AI80"/>
    <mergeCell ref="AJ79:AK79"/>
    <mergeCell ref="AJ80:AK80"/>
    <mergeCell ref="V35:W35"/>
    <mergeCell ref="X35:Y35"/>
    <mergeCell ref="Z35:AA35"/>
    <mergeCell ref="AV39:AW39"/>
    <mergeCell ref="B83:C83"/>
    <mergeCell ref="D83:F83"/>
    <mergeCell ref="A7:A9"/>
    <mergeCell ref="A10:A11"/>
    <mergeCell ref="A54:A56"/>
    <mergeCell ref="D54:D56"/>
    <mergeCell ref="B58:C58"/>
    <mergeCell ref="D58:F58"/>
    <mergeCell ref="H79:I79"/>
    <mergeCell ref="H80:I80"/>
    <mergeCell ref="G19:G21"/>
    <mergeCell ref="E19:F21"/>
    <mergeCell ref="E22:F24"/>
    <mergeCell ref="G22:G24"/>
    <mergeCell ref="H47:I47"/>
    <mergeCell ref="R81:S81"/>
    <mergeCell ref="T81:U81"/>
    <mergeCell ref="D28:D33"/>
    <mergeCell ref="D35:D40"/>
    <mergeCell ref="H35:I35"/>
    <mergeCell ref="J35:K35"/>
    <mergeCell ref="L35:M35"/>
    <mergeCell ref="N35:O35"/>
    <mergeCell ref="P35:Q35"/>
    <mergeCell ref="R35:S35"/>
    <mergeCell ref="T35:U35"/>
    <mergeCell ref="H31:I31"/>
    <mergeCell ref="J31:K31"/>
    <mergeCell ref="L31:M31"/>
    <mergeCell ref="N31:O31"/>
    <mergeCell ref="P31:Q31"/>
    <mergeCell ref="R31:S31"/>
    <mergeCell ref="BL59:BM59"/>
    <mergeCell ref="BJ59:BK59"/>
    <mergeCell ref="BH59:BI59"/>
    <mergeCell ref="BF59:BG59"/>
    <mergeCell ref="BX59:BY59"/>
    <mergeCell ref="BV59:BW59"/>
    <mergeCell ref="BT59:BU59"/>
    <mergeCell ref="BR59:BS59"/>
    <mergeCell ref="BP59:BQ59"/>
    <mergeCell ref="R79:S79"/>
    <mergeCell ref="R80:S80"/>
    <mergeCell ref="T79:U79"/>
    <mergeCell ref="T80:U80"/>
    <mergeCell ref="V79:W79"/>
    <mergeCell ref="V80:W80"/>
    <mergeCell ref="X79:Y79"/>
    <mergeCell ref="X80:Y80"/>
    <mergeCell ref="Z79:AA79"/>
    <mergeCell ref="Z80:AA80"/>
    <mergeCell ref="BJ79:BK79"/>
    <mergeCell ref="BJ80:BK80"/>
    <mergeCell ref="BL79:BM79"/>
    <mergeCell ref="BL80:BM80"/>
    <mergeCell ref="BN79:BO79"/>
    <mergeCell ref="BN80:BO80"/>
    <mergeCell ref="BP79:BQ79"/>
    <mergeCell ref="BP80:BQ80"/>
    <mergeCell ref="BR79:BS79"/>
    <mergeCell ref="BR80:BS80"/>
    <mergeCell ref="AZ79:BA79"/>
    <mergeCell ref="AZ80:BA80"/>
    <mergeCell ref="BB79:BC79"/>
    <mergeCell ref="AP59:AQ59"/>
    <mergeCell ref="AN59:AO59"/>
    <mergeCell ref="AL59:AM59"/>
    <mergeCell ref="BD59:BE59"/>
    <mergeCell ref="BB59:BC59"/>
    <mergeCell ref="AZ59:BA59"/>
    <mergeCell ref="AX59:AY59"/>
    <mergeCell ref="AV59:AW59"/>
    <mergeCell ref="Z59:AA59"/>
    <mergeCell ref="X59:Y59"/>
    <mergeCell ref="V59:W59"/>
    <mergeCell ref="T59:U59"/>
    <mergeCell ref="R59:S59"/>
    <mergeCell ref="AJ59:AK59"/>
    <mergeCell ref="AH59:AI59"/>
    <mergeCell ref="AF59:AG59"/>
    <mergeCell ref="AD59:AE59"/>
    <mergeCell ref="AB59:AC59"/>
    <mergeCell ref="AR59:AS59"/>
    <mergeCell ref="AT59:AU59"/>
    <mergeCell ref="H84:I84"/>
    <mergeCell ref="J84:K84"/>
    <mergeCell ref="L84:M84"/>
    <mergeCell ref="N84:O84"/>
    <mergeCell ref="P84:Q84"/>
    <mergeCell ref="P59:Q59"/>
    <mergeCell ref="N59:O59"/>
    <mergeCell ref="L59:M59"/>
    <mergeCell ref="J59:K59"/>
    <mergeCell ref="H59:I59"/>
    <mergeCell ref="J79:K79"/>
    <mergeCell ref="L79:M79"/>
    <mergeCell ref="N79:O79"/>
    <mergeCell ref="J80:K80"/>
    <mergeCell ref="L80:M80"/>
    <mergeCell ref="N80:O80"/>
    <mergeCell ref="P79:Q79"/>
    <mergeCell ref="P80:Q80"/>
    <mergeCell ref="H81:I81"/>
    <mergeCell ref="J81:K81"/>
    <mergeCell ref="L81:M81"/>
    <mergeCell ref="N81:O81"/>
    <mergeCell ref="P81:Q81"/>
    <mergeCell ref="AB84:AC84"/>
    <mergeCell ref="AD84:AE84"/>
    <mergeCell ref="AF84:AG84"/>
    <mergeCell ref="AH84:AI84"/>
    <mergeCell ref="AJ84:AK84"/>
    <mergeCell ref="R84:S84"/>
    <mergeCell ref="T84:U84"/>
    <mergeCell ref="V84:W84"/>
    <mergeCell ref="X84:Y84"/>
    <mergeCell ref="Z84:AA84"/>
    <mergeCell ref="AV84:AW84"/>
    <mergeCell ref="AX84:AY84"/>
    <mergeCell ref="AZ84:BA84"/>
    <mergeCell ref="BB84:BC84"/>
    <mergeCell ref="BD84:BE84"/>
    <mergeCell ref="AL84:AM84"/>
    <mergeCell ref="AN84:AO84"/>
    <mergeCell ref="AP84:AQ84"/>
    <mergeCell ref="AR84:AS84"/>
    <mergeCell ref="AT84:AU84"/>
    <mergeCell ref="CJ84:CK84"/>
    <mergeCell ref="CL84:CM84"/>
    <mergeCell ref="CN84:CO84"/>
    <mergeCell ref="CP84:CQ84"/>
    <mergeCell ref="CR84:CS84"/>
    <mergeCell ref="BZ84:CA84"/>
    <mergeCell ref="CB84:CC84"/>
    <mergeCell ref="CD84:CE84"/>
    <mergeCell ref="CF84:CG84"/>
    <mergeCell ref="CH84:CI84"/>
    <mergeCell ref="BP84:BQ84"/>
    <mergeCell ref="BR84:BS84"/>
    <mergeCell ref="BT84:BU84"/>
    <mergeCell ref="BV84:BW84"/>
    <mergeCell ref="BX84:BY84"/>
    <mergeCell ref="BF84:BG84"/>
    <mergeCell ref="BH84:BI84"/>
    <mergeCell ref="BJ84:BK84"/>
    <mergeCell ref="BL84:BM84"/>
    <mergeCell ref="BN84:BO84"/>
    <mergeCell ref="CF59:CG59"/>
    <mergeCell ref="CD59:CE59"/>
    <mergeCell ref="CB59:CC59"/>
    <mergeCell ref="BZ59:CA59"/>
    <mergeCell ref="CR59:CS59"/>
    <mergeCell ref="CP59:CQ59"/>
    <mergeCell ref="CN59:CO59"/>
    <mergeCell ref="CL59:CM59"/>
    <mergeCell ref="CJ59:CK59"/>
    <mergeCell ref="BN59:BO59"/>
    <mergeCell ref="CD30:CE30"/>
    <mergeCell ref="CF30:CG30"/>
    <mergeCell ref="CH30:CI30"/>
    <mergeCell ref="CJ30:CK30"/>
    <mergeCell ref="CR32:CS32"/>
    <mergeCell ref="CL33:CM33"/>
    <mergeCell ref="CN33:CO33"/>
    <mergeCell ref="CP33:CQ33"/>
    <mergeCell ref="CR33:CS33"/>
    <mergeCell ref="BV32:BW32"/>
    <mergeCell ref="CH32:CI32"/>
    <mergeCell ref="CJ32:CK32"/>
    <mergeCell ref="CL32:CM32"/>
    <mergeCell ref="CN32:CO32"/>
    <mergeCell ref="CP32:CQ32"/>
    <mergeCell ref="BT31:BU31"/>
    <mergeCell ref="BV31:BW31"/>
    <mergeCell ref="BX31:BY31"/>
    <mergeCell ref="BZ31:CA31"/>
    <mergeCell ref="CB31:CC31"/>
    <mergeCell ref="BV30:BW30"/>
    <mergeCell ref="CR36:CS36"/>
    <mergeCell ref="AB81:AC81"/>
    <mergeCell ref="AD81:AE81"/>
    <mergeCell ref="AF81:AG81"/>
    <mergeCell ref="AH81:AI81"/>
    <mergeCell ref="BH81:BI81"/>
    <mergeCell ref="BJ81:BK81"/>
    <mergeCell ref="BL81:BM81"/>
    <mergeCell ref="BN81:BO81"/>
    <mergeCell ref="BP81:BQ81"/>
    <mergeCell ref="BR81:BS81"/>
    <mergeCell ref="AJ81:AK81"/>
    <mergeCell ref="AL81:AM81"/>
    <mergeCell ref="AN81:AO81"/>
    <mergeCell ref="AP81:AQ81"/>
    <mergeCell ref="AR81:AS81"/>
    <mergeCell ref="AT81:AU81"/>
    <mergeCell ref="AV81:AW81"/>
    <mergeCell ref="AX81:AY81"/>
    <mergeCell ref="AZ81:BA81"/>
    <mergeCell ref="BB81:BC81"/>
    <mergeCell ref="BD81:BE81"/>
    <mergeCell ref="BF81:BG81"/>
    <mergeCell ref="BZ28:CA28"/>
    <mergeCell ref="CB28:CC28"/>
    <mergeCell ref="CD28:CE28"/>
    <mergeCell ref="CF28:CG28"/>
    <mergeCell ref="CH28:CI28"/>
    <mergeCell ref="CJ28:CK28"/>
    <mergeCell ref="CL28:CM28"/>
    <mergeCell ref="CN28:CO28"/>
    <mergeCell ref="CL81:CM81"/>
    <mergeCell ref="CN81:CO81"/>
    <mergeCell ref="CP81:CQ81"/>
    <mergeCell ref="CR81:CS81"/>
    <mergeCell ref="BP28:BQ28"/>
    <mergeCell ref="BR28:BS28"/>
    <mergeCell ref="BT28:BU28"/>
    <mergeCell ref="BV28:BW28"/>
    <mergeCell ref="BX28:BY28"/>
    <mergeCell ref="BT81:BU81"/>
    <mergeCell ref="BV81:BW81"/>
    <mergeCell ref="BX81:BY81"/>
    <mergeCell ref="BZ81:CA81"/>
    <mergeCell ref="CB81:CC81"/>
    <mergeCell ref="CD81:CE81"/>
    <mergeCell ref="CF81:CG81"/>
    <mergeCell ref="CH81:CI81"/>
    <mergeCell ref="CJ81:CK81"/>
    <mergeCell ref="CL30:CM30"/>
    <mergeCell ref="CN30:CO30"/>
    <mergeCell ref="BX30:BY30"/>
    <mergeCell ref="BZ30:CA30"/>
    <mergeCell ref="CB30:CC30"/>
    <mergeCell ref="CH59:CI59"/>
    <mergeCell ref="AV30:AW30"/>
    <mergeCell ref="AD28:AE28"/>
    <mergeCell ref="CR30:CS30"/>
    <mergeCell ref="V29:W29"/>
    <mergeCell ref="X29:Y29"/>
    <mergeCell ref="Z29:AA29"/>
    <mergeCell ref="AB29:AC29"/>
    <mergeCell ref="AD29:AE29"/>
    <mergeCell ref="AF29:AG29"/>
    <mergeCell ref="AH29:AI29"/>
    <mergeCell ref="AL28:AM28"/>
    <mergeCell ref="AN28:AO28"/>
    <mergeCell ref="AP28:AQ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CP28:CQ28"/>
    <mergeCell ref="AX28:AY28"/>
    <mergeCell ref="AZ28:BA28"/>
    <mergeCell ref="BB28:BC28"/>
    <mergeCell ref="BD28:BE28"/>
    <mergeCell ref="BF28:BG28"/>
    <mergeCell ref="BH28:BI28"/>
    <mergeCell ref="BJ28:BK28"/>
    <mergeCell ref="BL28:BM28"/>
    <mergeCell ref="BN28:BO28"/>
    <mergeCell ref="BJ31:BK31"/>
    <mergeCell ref="BL31:BM31"/>
    <mergeCell ref="AZ30:BA30"/>
    <mergeCell ref="BR30:BS30"/>
    <mergeCell ref="AV31:AW31"/>
    <mergeCell ref="AX31:AY31"/>
    <mergeCell ref="CR28:CS28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I30"/>
    <mergeCell ref="AJ30:AK30"/>
    <mergeCell ref="AL30:AM30"/>
    <mergeCell ref="AN30:AO30"/>
    <mergeCell ref="AP30:AQ30"/>
    <mergeCell ref="AR30:AS30"/>
    <mergeCell ref="CD31:CE31"/>
    <mergeCell ref="CR31:CS31"/>
    <mergeCell ref="BN31:BO31"/>
    <mergeCell ref="BP31:BQ31"/>
    <mergeCell ref="BR31:BS31"/>
    <mergeCell ref="AT30:AU30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Z32:AA32"/>
    <mergeCell ref="AB32:AC32"/>
    <mergeCell ref="AD32:AE32"/>
    <mergeCell ref="AF32:AG32"/>
    <mergeCell ref="AH32:AI32"/>
    <mergeCell ref="AJ32:AK32"/>
    <mergeCell ref="AL32:AM32"/>
    <mergeCell ref="AN32:AO32"/>
    <mergeCell ref="BJ32:BK32"/>
    <mergeCell ref="BL32:BM32"/>
    <mergeCell ref="BN32:BO32"/>
    <mergeCell ref="BP32:BQ32"/>
    <mergeCell ref="BR32:BS32"/>
    <mergeCell ref="BT32:BU32"/>
    <mergeCell ref="AT31:AU31"/>
    <mergeCell ref="CH31:CI31"/>
    <mergeCell ref="CJ31:CK31"/>
    <mergeCell ref="CL31:CM31"/>
    <mergeCell ref="CN31:CO31"/>
    <mergeCell ref="CP31:CQ31"/>
    <mergeCell ref="CP30:CQ30"/>
    <mergeCell ref="CH33:CI33"/>
    <mergeCell ref="CJ33:CK33"/>
    <mergeCell ref="BB33:BC33"/>
    <mergeCell ref="BD33:BE33"/>
    <mergeCell ref="BF33:BG33"/>
    <mergeCell ref="BH33:BI33"/>
    <mergeCell ref="BJ33:BK33"/>
    <mergeCell ref="BL33:BM33"/>
    <mergeCell ref="BN33:BO33"/>
    <mergeCell ref="BP33:BQ33"/>
    <mergeCell ref="BR33:BS33"/>
    <mergeCell ref="CD33:CE33"/>
    <mergeCell ref="CF33:CG33"/>
    <mergeCell ref="BZ32:CA32"/>
    <mergeCell ref="CB32:CC32"/>
    <mergeCell ref="CD32:CE32"/>
    <mergeCell ref="CF32:CG32"/>
    <mergeCell ref="CF31:CG31"/>
    <mergeCell ref="BH31:BI31"/>
    <mergeCell ref="AL29:AM29"/>
    <mergeCell ref="AN29:AO29"/>
    <mergeCell ref="AR29:AS29"/>
    <mergeCell ref="AT29:AU29"/>
    <mergeCell ref="BT33:BU33"/>
    <mergeCell ref="BV33:BW33"/>
    <mergeCell ref="BX33:BY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AL33:AM33"/>
    <mergeCell ref="AN33:AO33"/>
    <mergeCell ref="AF31:AG31"/>
    <mergeCell ref="AH31:AI31"/>
    <mergeCell ref="AJ31:AK31"/>
    <mergeCell ref="AL31:AM31"/>
    <mergeCell ref="AN31:AO31"/>
    <mergeCell ref="AP31:AQ31"/>
    <mergeCell ref="AR31:AS31"/>
    <mergeCell ref="AJ29:AK29"/>
    <mergeCell ref="BZ33:CA33"/>
    <mergeCell ref="CB33:CC33"/>
    <mergeCell ref="BJ29:BK29"/>
    <mergeCell ref="BL29:BM29"/>
    <mergeCell ref="AP33:AQ33"/>
    <mergeCell ref="AR33:AS33"/>
    <mergeCell ref="AT33:AU33"/>
    <mergeCell ref="AP32:AQ32"/>
    <mergeCell ref="AR32:AS32"/>
    <mergeCell ref="AT32:AU32"/>
    <mergeCell ref="AX30:AY30"/>
    <mergeCell ref="AP29:AQ29"/>
    <mergeCell ref="BB30:BC30"/>
    <mergeCell ref="BD30:BE30"/>
    <mergeCell ref="BF30:BG30"/>
    <mergeCell ref="BH30:BI30"/>
    <mergeCell ref="BJ30:BK30"/>
    <mergeCell ref="BL30:BM30"/>
    <mergeCell ref="BN30:BO30"/>
    <mergeCell ref="BP30:BQ30"/>
    <mergeCell ref="AV33:AW33"/>
    <mergeCell ref="AX33:AY33"/>
    <mergeCell ref="AZ33:BA33"/>
    <mergeCell ref="AV32:AW32"/>
    <mergeCell ref="AX32:AY32"/>
    <mergeCell ref="AZ32:BA32"/>
    <mergeCell ref="BB32:BC32"/>
    <mergeCell ref="BD32:BE32"/>
    <mergeCell ref="BF32:BG32"/>
    <mergeCell ref="BX32:BY32"/>
    <mergeCell ref="BT30:BU30"/>
    <mergeCell ref="BH32:BI32"/>
    <mergeCell ref="AZ44:BA44"/>
    <mergeCell ref="CF29:CG29"/>
    <mergeCell ref="CH29:CI29"/>
    <mergeCell ref="CJ29:CK29"/>
    <mergeCell ref="CL29:CM29"/>
    <mergeCell ref="CN29:CO29"/>
    <mergeCell ref="CP29:CQ29"/>
    <mergeCell ref="CR29:CS29"/>
    <mergeCell ref="E29:G29"/>
    <mergeCell ref="BN29:BO29"/>
    <mergeCell ref="BP29:BQ29"/>
    <mergeCell ref="BR29:BS29"/>
    <mergeCell ref="BT29:BU29"/>
    <mergeCell ref="BV29:BW29"/>
    <mergeCell ref="BX29:BY29"/>
    <mergeCell ref="BZ29:CA29"/>
    <mergeCell ref="CB29:CC29"/>
    <mergeCell ref="CD29:CE29"/>
    <mergeCell ref="AV29:AW29"/>
    <mergeCell ref="AX29:AY29"/>
    <mergeCell ref="AZ29:BA29"/>
    <mergeCell ref="BB29:BC29"/>
    <mergeCell ref="BD29:BE29"/>
    <mergeCell ref="BF29:BG29"/>
    <mergeCell ref="BH29:BI29"/>
    <mergeCell ref="H29:I29"/>
    <mergeCell ref="J29:K29"/>
    <mergeCell ref="L29:M29"/>
    <mergeCell ref="N29:O29"/>
    <mergeCell ref="P29:Q29"/>
    <mergeCell ref="R29:S29"/>
    <mergeCell ref="T29:U29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AF44:AG44"/>
    <mergeCell ref="AH44:AI44"/>
    <mergeCell ref="AJ44:AK44"/>
    <mergeCell ref="AL44:AM44"/>
    <mergeCell ref="AN44:AO44"/>
    <mergeCell ref="BB44:BC44"/>
    <mergeCell ref="BD44:BE44"/>
    <mergeCell ref="BF44:BG44"/>
    <mergeCell ref="BH44:BI44"/>
    <mergeCell ref="BJ44:BK44"/>
    <mergeCell ref="BL44:BM44"/>
    <mergeCell ref="BN44:BO44"/>
    <mergeCell ref="BP44:BQ44"/>
    <mergeCell ref="BR44:BS44"/>
    <mergeCell ref="BT44:BU44"/>
    <mergeCell ref="BV44:BW44"/>
    <mergeCell ref="BX44:BY44"/>
    <mergeCell ref="BZ44:CA44"/>
    <mergeCell ref="CB44:CC44"/>
    <mergeCell ref="CD44:CE44"/>
    <mergeCell ref="CF44:CG44"/>
    <mergeCell ref="CH44:CI44"/>
    <mergeCell ref="CJ44:CK44"/>
    <mergeCell ref="CL44:CM44"/>
    <mergeCell ref="CN44:CO44"/>
    <mergeCell ref="CP44:CQ44"/>
    <mergeCell ref="CR44:CS44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  <mergeCell ref="Z45:AA45"/>
    <mergeCell ref="AB45:AC45"/>
    <mergeCell ref="AD45:AE45"/>
    <mergeCell ref="AF45:AG45"/>
    <mergeCell ref="AH45:AI45"/>
    <mergeCell ref="AJ45:AK45"/>
    <mergeCell ref="AL45:AM45"/>
    <mergeCell ref="AN45:AO45"/>
    <mergeCell ref="AP45:AQ45"/>
    <mergeCell ref="AR45:AS45"/>
    <mergeCell ref="AT45:AU45"/>
    <mergeCell ref="AV45:AW45"/>
    <mergeCell ref="AX45:AY45"/>
    <mergeCell ref="AZ45:BA45"/>
    <mergeCell ref="BB45:BC45"/>
    <mergeCell ref="BD45:BE45"/>
    <mergeCell ref="BF45:BG45"/>
    <mergeCell ref="BH45:BI45"/>
    <mergeCell ref="BJ45:BK45"/>
    <mergeCell ref="BL45:BM45"/>
    <mergeCell ref="BN45:BO45"/>
    <mergeCell ref="BP45:BQ45"/>
    <mergeCell ref="BR45:BS45"/>
    <mergeCell ref="BT45:BU45"/>
    <mergeCell ref="BV45:BW45"/>
    <mergeCell ref="BX45:BY45"/>
    <mergeCell ref="BZ45:CA45"/>
    <mergeCell ref="CB45:CC45"/>
    <mergeCell ref="CD45:CE45"/>
    <mergeCell ref="CF45:CG45"/>
    <mergeCell ref="CH45:CI45"/>
    <mergeCell ref="CJ45:CK45"/>
    <mergeCell ref="CL45:CM45"/>
    <mergeCell ref="CN45:CO45"/>
    <mergeCell ref="CP45:CQ45"/>
    <mergeCell ref="CR45:CS45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  <mergeCell ref="Z46:AA46"/>
    <mergeCell ref="AB46:AC46"/>
    <mergeCell ref="AD46:AE46"/>
    <mergeCell ref="AF46:AG46"/>
    <mergeCell ref="AH46:AI46"/>
    <mergeCell ref="AJ46:AK46"/>
    <mergeCell ref="AL46:AM46"/>
    <mergeCell ref="AN46:AO46"/>
    <mergeCell ref="AP46:AQ46"/>
    <mergeCell ref="AR46:AS46"/>
    <mergeCell ref="AT46:AU46"/>
    <mergeCell ref="AV46:AW46"/>
    <mergeCell ref="AX46:AY46"/>
    <mergeCell ref="AZ46:BA46"/>
    <mergeCell ref="BB46:BC46"/>
    <mergeCell ref="BD46:BE46"/>
    <mergeCell ref="BF46:BG46"/>
    <mergeCell ref="BH46:BI46"/>
    <mergeCell ref="BJ46:BK46"/>
    <mergeCell ref="BL46:BM46"/>
    <mergeCell ref="BN46:BO46"/>
    <mergeCell ref="BP46:BQ46"/>
    <mergeCell ref="BR46:BS46"/>
    <mergeCell ref="BT46:BU46"/>
    <mergeCell ref="BV46:BW46"/>
    <mergeCell ref="BX46:BY46"/>
    <mergeCell ref="BZ46:CA46"/>
    <mergeCell ref="CB46:CC46"/>
    <mergeCell ref="CD46:CE46"/>
    <mergeCell ref="CF46:CG46"/>
    <mergeCell ref="CH46:CI46"/>
    <mergeCell ref="CJ46:CK46"/>
    <mergeCell ref="CL46:CM46"/>
    <mergeCell ref="CN46:CO46"/>
    <mergeCell ref="CP46:CQ46"/>
    <mergeCell ref="CR46:CS46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J47:AK47"/>
    <mergeCell ref="AL47:AM47"/>
    <mergeCell ref="AN47:AO47"/>
    <mergeCell ref="AP47:AQ47"/>
    <mergeCell ref="AR47:AS47"/>
    <mergeCell ref="AZ47:BA47"/>
    <mergeCell ref="BB47:BC47"/>
    <mergeCell ref="BD47:BE47"/>
    <mergeCell ref="BF47:BG47"/>
    <mergeCell ref="BH47:BI47"/>
    <mergeCell ref="BJ47:BK47"/>
    <mergeCell ref="CD47:CE47"/>
    <mergeCell ref="CF47:CG47"/>
    <mergeCell ref="CH47:CI47"/>
    <mergeCell ref="CJ47:CK47"/>
    <mergeCell ref="CL47:CM47"/>
    <mergeCell ref="CN47:CO47"/>
    <mergeCell ref="CP47:CQ47"/>
    <mergeCell ref="CR47:CS47"/>
    <mergeCell ref="BL47:BM47"/>
    <mergeCell ref="BN47:BO47"/>
    <mergeCell ref="BP47:BQ47"/>
    <mergeCell ref="BR47:BS47"/>
    <mergeCell ref="BT47:BU47"/>
    <mergeCell ref="BV47:BW47"/>
    <mergeCell ref="BX47:BY47"/>
    <mergeCell ref="BZ47:CA47"/>
    <mergeCell ref="CB47:CC47"/>
    <mergeCell ref="T43:U43"/>
    <mergeCell ref="V43:W43"/>
    <mergeCell ref="X43:Y43"/>
    <mergeCell ref="Z43:AA43"/>
    <mergeCell ref="AB43:AC43"/>
    <mergeCell ref="AD43:AE43"/>
    <mergeCell ref="AF43:AG43"/>
    <mergeCell ref="AH43:AI43"/>
    <mergeCell ref="AJ43:AK43"/>
    <mergeCell ref="AL43:AM43"/>
    <mergeCell ref="AN43:AO43"/>
    <mergeCell ref="AP43:AQ43"/>
    <mergeCell ref="AR43:AS43"/>
    <mergeCell ref="AT43:AU43"/>
    <mergeCell ref="AV43:AW43"/>
    <mergeCell ref="AX43:AY43"/>
    <mergeCell ref="AT47:AU47"/>
    <mergeCell ref="AV47:AW47"/>
    <mergeCell ref="AX47:AY47"/>
    <mergeCell ref="AP44:AQ44"/>
    <mergeCell ref="AR44:AS44"/>
    <mergeCell ref="AT44:AU44"/>
    <mergeCell ref="AV44:AW44"/>
    <mergeCell ref="AX44:AY44"/>
    <mergeCell ref="D43:D47"/>
    <mergeCell ref="CJ43:CK43"/>
    <mergeCell ref="CL43:CM43"/>
    <mergeCell ref="CN43:CO43"/>
    <mergeCell ref="CP43:CQ43"/>
    <mergeCell ref="CR43:CS43"/>
    <mergeCell ref="E25:F27"/>
    <mergeCell ref="G25:G27"/>
    <mergeCell ref="BR43:BS43"/>
    <mergeCell ref="BT43:BU43"/>
    <mergeCell ref="BV43:BW43"/>
    <mergeCell ref="BX43:BY43"/>
    <mergeCell ref="BZ43:CA43"/>
    <mergeCell ref="CB43:CC43"/>
    <mergeCell ref="CD43:CE43"/>
    <mergeCell ref="CF43:CG43"/>
    <mergeCell ref="CH43:CI43"/>
    <mergeCell ref="AZ43:BA43"/>
    <mergeCell ref="BB43:BC43"/>
    <mergeCell ref="BD43:BE43"/>
    <mergeCell ref="BF43:BG43"/>
    <mergeCell ref="BH43:BI43"/>
    <mergeCell ref="BJ43:BK43"/>
    <mergeCell ref="BL43:BM43"/>
    <mergeCell ref="BN43:BO43"/>
    <mergeCell ref="BP43:BQ43"/>
    <mergeCell ref="H43:I43"/>
    <mergeCell ref="J43:K43"/>
    <mergeCell ref="L43:M43"/>
    <mergeCell ref="N43:O43"/>
    <mergeCell ref="P43:Q43"/>
    <mergeCell ref="R43:S43"/>
  </mergeCells>
  <conditionalFormatting sqref="H44:CS47">
    <cfRule type="cellIs" dxfId="3" priority="4" operator="greaterThan">
      <formula>0.99</formula>
    </cfRule>
    <cfRule type="cellIs" dxfId="2" priority="3" operator="lessThan">
      <formula>0.995</formula>
    </cfRule>
  </conditionalFormatting>
  <conditionalFormatting sqref="H85:CS102">
    <cfRule type="cellIs" dxfId="1" priority="2" operator="greaterThan">
      <formula>0.995</formula>
    </cfRule>
    <cfRule type="cellIs" dxfId="0" priority="1" operator="lessThan">
      <formula>0.995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CQ85:CQ102 BS85:CO102 H85:BQ102 L37:CS4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U48"/>
  <sheetViews>
    <sheetView workbookViewId="0">
      <pane ySplit="3" topLeftCell="A4" activePane="bottomLeft" state="frozen"/>
      <selection pane="bottomLeft" activeCell="L43" sqref="L43"/>
    </sheetView>
  </sheetViews>
  <sheetFormatPr baseColWidth="10" defaultRowHeight="15"/>
  <cols>
    <col min="2" max="2" width="21.7109375" bestFit="1" customWidth="1"/>
    <col min="3" max="3" width="5.7109375" style="484" bestFit="1" customWidth="1"/>
    <col min="4" max="4" width="4.28515625" style="484" bestFit="1" customWidth="1"/>
    <col min="5" max="5" width="6" style="28" customWidth="1"/>
    <col min="6" max="6" width="9.7109375" style="484" customWidth="1"/>
    <col min="7" max="7" width="5.42578125" customWidth="1"/>
    <col min="8" max="8" width="5.5703125" customWidth="1"/>
    <col min="9" max="9" width="22.28515625" bestFit="1" customWidth="1"/>
    <col min="10" max="10" width="11.42578125" customWidth="1"/>
    <col min="11" max="11" width="4.7109375" style="496" customWidth="1"/>
    <col min="12" max="13" width="5.85546875" style="496" customWidth="1"/>
    <col min="14" max="14" width="6" style="496" customWidth="1"/>
    <col min="15" max="15" width="5.7109375" style="496" customWidth="1"/>
    <col min="16" max="16" width="6.42578125" style="496" customWidth="1"/>
    <col min="17" max="17" width="6.7109375" customWidth="1"/>
    <col min="18" max="18" width="7" customWidth="1"/>
    <col min="19" max="19" width="7.28515625" customWidth="1"/>
    <col min="20" max="20" width="6.42578125" customWidth="1"/>
    <col min="21" max="21" width="7.140625" customWidth="1"/>
  </cols>
  <sheetData>
    <row r="1" spans="1:21" ht="18.75">
      <c r="A1" s="372" t="s">
        <v>784</v>
      </c>
    </row>
    <row r="2" spans="1:21" ht="15.75" thickBot="1">
      <c r="L2" s="611" t="s">
        <v>429</v>
      </c>
      <c r="M2" s="611"/>
      <c r="N2" s="611"/>
      <c r="O2" s="611"/>
      <c r="P2" s="611"/>
      <c r="Q2" s="556" t="s">
        <v>809</v>
      </c>
      <c r="R2" s="556"/>
      <c r="S2" s="556"/>
      <c r="T2" s="556"/>
      <c r="U2" s="556"/>
    </row>
    <row r="3" spans="1:21" ht="15.75" thickBot="1">
      <c r="A3" s="64"/>
      <c r="B3" s="377" t="s">
        <v>430</v>
      </c>
      <c r="C3" s="384" t="s">
        <v>59</v>
      </c>
      <c r="D3" s="382" t="s">
        <v>383</v>
      </c>
      <c r="E3" s="378" t="s">
        <v>785</v>
      </c>
      <c r="F3" s="385" t="s">
        <v>433</v>
      </c>
      <c r="I3" s="381" t="s">
        <v>367</v>
      </c>
      <c r="J3" s="380" t="s">
        <v>383</v>
      </c>
      <c r="K3" s="508" t="s">
        <v>362</v>
      </c>
      <c r="L3" s="497" t="s">
        <v>30</v>
      </c>
      <c r="M3" s="497" t="s">
        <v>31</v>
      </c>
      <c r="N3" s="497" t="s">
        <v>32</v>
      </c>
      <c r="O3" s="497" t="s">
        <v>61</v>
      </c>
      <c r="P3" s="497" t="s">
        <v>62</v>
      </c>
      <c r="Q3" s="485" t="s">
        <v>30</v>
      </c>
      <c r="R3" s="377" t="s">
        <v>31</v>
      </c>
      <c r="S3" s="377" t="s">
        <v>32</v>
      </c>
      <c r="T3" s="377" t="s">
        <v>61</v>
      </c>
      <c r="U3" s="379" t="s">
        <v>62</v>
      </c>
    </row>
    <row r="4" spans="1:21">
      <c r="A4" s="613" t="s">
        <v>786</v>
      </c>
      <c r="B4" s="118" t="s">
        <v>432</v>
      </c>
      <c r="C4" s="451">
        <v>18</v>
      </c>
      <c r="D4" s="527" t="s">
        <v>30</v>
      </c>
      <c r="E4" s="388">
        <v>0.02</v>
      </c>
      <c r="F4" s="410">
        <f>C4*E4</f>
        <v>0.36</v>
      </c>
      <c r="H4">
        <v>1</v>
      </c>
      <c r="I4" s="435" t="s">
        <v>525</v>
      </c>
      <c r="J4" s="436" t="s">
        <v>387</v>
      </c>
      <c r="K4" s="509">
        <v>15</v>
      </c>
      <c r="L4" s="498">
        <v>300</v>
      </c>
      <c r="M4" s="498">
        <v>200</v>
      </c>
      <c r="N4" s="498">
        <v>300</v>
      </c>
      <c r="O4" s="498"/>
      <c r="P4" s="498">
        <v>500</v>
      </c>
      <c r="Q4" s="486">
        <f>L4*(1+$F$21+$F$38)+$F$20</f>
        <v>507</v>
      </c>
      <c r="R4" s="437">
        <f>M4*(1+$F$23+$F$37)+$F$17</f>
        <v>362</v>
      </c>
      <c r="S4" s="437">
        <f>N4*(1+$F$22+$F$39)+$F$18</f>
        <v>500</v>
      </c>
      <c r="T4" s="437"/>
      <c r="U4" s="438">
        <f>P4</f>
        <v>500</v>
      </c>
    </row>
    <row r="5" spans="1:21">
      <c r="A5" s="608"/>
      <c r="B5" s="25" t="s">
        <v>434</v>
      </c>
      <c r="C5" s="452">
        <v>18</v>
      </c>
      <c r="D5" s="200" t="s">
        <v>31</v>
      </c>
      <c r="E5" s="374">
        <v>0.02</v>
      </c>
      <c r="F5" s="406">
        <f t="shared" ref="F5:F25" si="0">C5*E5</f>
        <v>0.36</v>
      </c>
      <c r="H5">
        <v>2</v>
      </c>
      <c r="I5" s="435" t="s">
        <v>372</v>
      </c>
      <c r="J5" s="436" t="s">
        <v>387</v>
      </c>
      <c r="K5" s="509">
        <v>20</v>
      </c>
      <c r="L5" s="498">
        <v>20</v>
      </c>
      <c r="M5" s="498">
        <v>15</v>
      </c>
      <c r="N5" s="498">
        <v>50</v>
      </c>
      <c r="O5" s="498">
        <v>50</v>
      </c>
      <c r="P5" s="498">
        <v>100</v>
      </c>
      <c r="Q5" s="486">
        <f t="shared" ref="Q5:Q11" si="1">L5*(1+$F$21+$F$38)+$F$20</f>
        <v>159.80000000000001</v>
      </c>
      <c r="R5" s="437">
        <f t="shared" ref="R5:R11" si="2">M5*(1+$F$23+$F$37)+$F$17</f>
        <v>124.27500000000001</v>
      </c>
      <c r="S5" s="437">
        <f t="shared" ref="S5:S11" si="3">N5*(1+$F$22+$F$39)+$F$18</f>
        <v>187.5</v>
      </c>
      <c r="T5" s="437">
        <f>O5+$F$19</f>
        <v>150</v>
      </c>
      <c r="U5" s="438">
        <f t="shared" ref="U5:U11" si="4">P5</f>
        <v>100</v>
      </c>
    </row>
    <row r="6" spans="1:21">
      <c r="A6" s="609"/>
      <c r="B6" s="27" t="s">
        <v>628</v>
      </c>
      <c r="C6" s="453">
        <v>18</v>
      </c>
      <c r="D6" s="343" t="s">
        <v>32</v>
      </c>
      <c r="E6" s="389">
        <v>0.01</v>
      </c>
      <c r="F6" s="408">
        <f t="shared" si="0"/>
        <v>0.18</v>
      </c>
      <c r="H6">
        <v>3</v>
      </c>
      <c r="I6" s="435" t="s">
        <v>67</v>
      </c>
      <c r="J6" s="436" t="s">
        <v>387</v>
      </c>
      <c r="K6" s="509">
        <v>10</v>
      </c>
      <c r="L6" s="498">
        <v>30</v>
      </c>
      <c r="M6" s="498">
        <v>55</v>
      </c>
      <c r="N6" s="498">
        <v>30</v>
      </c>
      <c r="O6" s="498"/>
      <c r="P6" s="498">
        <v>60</v>
      </c>
      <c r="Q6" s="486">
        <f t="shared" si="1"/>
        <v>172.2</v>
      </c>
      <c r="R6" s="437">
        <f t="shared" si="2"/>
        <v>175.67500000000001</v>
      </c>
      <c r="S6" s="437">
        <f t="shared" si="3"/>
        <v>162.5</v>
      </c>
      <c r="T6" s="437"/>
      <c r="U6" s="438">
        <f t="shared" si="4"/>
        <v>60</v>
      </c>
    </row>
    <row r="7" spans="1:21" ht="15" customHeight="1">
      <c r="A7" s="612" t="s">
        <v>787</v>
      </c>
      <c r="B7" s="108" t="s">
        <v>435</v>
      </c>
      <c r="C7" s="454">
        <v>18</v>
      </c>
      <c r="D7" s="391" t="s">
        <v>31</v>
      </c>
      <c r="E7" s="392">
        <v>2.5000000000000001E-2</v>
      </c>
      <c r="F7" s="393">
        <f t="shared" si="0"/>
        <v>0.45</v>
      </c>
      <c r="H7">
        <v>5</v>
      </c>
      <c r="I7" s="435" t="s">
        <v>368</v>
      </c>
      <c r="J7" s="436" t="s">
        <v>387</v>
      </c>
      <c r="K7" s="509">
        <v>25</v>
      </c>
      <c r="L7" s="498">
        <v>400</v>
      </c>
      <c r="M7" s="498">
        <v>250</v>
      </c>
      <c r="N7" s="498">
        <v>415</v>
      </c>
      <c r="O7" s="498"/>
      <c r="P7" s="498">
        <v>250</v>
      </c>
      <c r="Q7" s="486">
        <f t="shared" si="1"/>
        <v>631</v>
      </c>
      <c r="R7" s="437">
        <f t="shared" si="2"/>
        <v>426.25</v>
      </c>
      <c r="S7" s="437">
        <f t="shared" si="3"/>
        <v>643.75</v>
      </c>
      <c r="T7" s="437"/>
      <c r="U7" s="438">
        <f t="shared" si="4"/>
        <v>250</v>
      </c>
    </row>
    <row r="8" spans="1:21">
      <c r="A8" s="608"/>
      <c r="B8" s="25" t="s">
        <v>624</v>
      </c>
      <c r="C8" s="452">
        <v>19</v>
      </c>
      <c r="D8" s="200" t="s">
        <v>32</v>
      </c>
      <c r="E8" s="374">
        <v>0.01</v>
      </c>
      <c r="F8" s="406">
        <f t="shared" si="0"/>
        <v>0.19</v>
      </c>
      <c r="H8">
        <v>7</v>
      </c>
      <c r="I8" s="435" t="s">
        <v>58</v>
      </c>
      <c r="J8" s="436" t="s">
        <v>387</v>
      </c>
      <c r="K8" s="509">
        <v>40</v>
      </c>
      <c r="L8" s="498">
        <v>450</v>
      </c>
      <c r="M8" s="498">
        <v>120</v>
      </c>
      <c r="N8" s="498">
        <v>300</v>
      </c>
      <c r="O8" s="498"/>
      <c r="P8" s="498">
        <v>250</v>
      </c>
      <c r="Q8" s="486">
        <f t="shared" si="1"/>
        <v>693</v>
      </c>
      <c r="R8" s="437">
        <f t="shared" si="2"/>
        <v>259.2</v>
      </c>
      <c r="S8" s="437">
        <f t="shared" si="3"/>
        <v>500</v>
      </c>
      <c r="T8" s="437"/>
      <c r="U8" s="438">
        <f t="shared" si="4"/>
        <v>250</v>
      </c>
    </row>
    <row r="9" spans="1:21">
      <c r="A9" s="609"/>
      <c r="B9" s="27" t="s">
        <v>436</v>
      </c>
      <c r="C9" s="453">
        <v>18</v>
      </c>
      <c r="D9" s="343" t="s">
        <v>30</v>
      </c>
      <c r="E9" s="389">
        <v>0.01</v>
      </c>
      <c r="F9" s="408">
        <f t="shared" si="0"/>
        <v>0.18</v>
      </c>
      <c r="H9">
        <v>10</v>
      </c>
      <c r="I9" s="435" t="s">
        <v>526</v>
      </c>
      <c r="J9" s="436" t="s">
        <v>387</v>
      </c>
      <c r="K9" s="509">
        <v>60</v>
      </c>
      <c r="L9" s="498">
        <v>1050</v>
      </c>
      <c r="M9" s="498">
        <v>650</v>
      </c>
      <c r="N9" s="498">
        <v>840</v>
      </c>
      <c r="O9" s="498"/>
      <c r="P9" s="498">
        <v>4000</v>
      </c>
      <c r="Q9" s="486">
        <f t="shared" si="1"/>
        <v>1437</v>
      </c>
      <c r="R9" s="437">
        <f t="shared" si="2"/>
        <v>940.25</v>
      </c>
      <c r="S9" s="437">
        <f t="shared" si="3"/>
        <v>1175</v>
      </c>
      <c r="T9" s="437"/>
      <c r="U9" s="438">
        <f t="shared" si="4"/>
        <v>4000</v>
      </c>
    </row>
    <row r="10" spans="1:21" ht="15" customHeight="1">
      <c r="A10" s="612" t="s">
        <v>788</v>
      </c>
      <c r="B10" s="108" t="s">
        <v>439</v>
      </c>
      <c r="C10" s="454">
        <v>12</v>
      </c>
      <c r="D10" s="391" t="s">
        <v>61</v>
      </c>
      <c r="E10" s="394">
        <v>10</v>
      </c>
      <c r="F10" s="395">
        <f t="shared" si="0"/>
        <v>120</v>
      </c>
      <c r="H10">
        <v>13</v>
      </c>
      <c r="I10" s="435" t="s">
        <v>64</v>
      </c>
      <c r="J10" s="436" t="s">
        <v>387</v>
      </c>
      <c r="K10" s="509">
        <v>80</v>
      </c>
      <c r="L10" s="498">
        <v>780</v>
      </c>
      <c r="M10" s="498">
        <v>640</v>
      </c>
      <c r="N10" s="498">
        <v>930</v>
      </c>
      <c r="O10" s="498">
        <v>200</v>
      </c>
      <c r="P10" s="498">
        <v>7000</v>
      </c>
      <c r="Q10" s="486">
        <f t="shared" si="1"/>
        <v>1102.2</v>
      </c>
      <c r="R10" s="437">
        <f t="shared" si="2"/>
        <v>927.4</v>
      </c>
      <c r="S10" s="437">
        <f t="shared" si="3"/>
        <v>1287.5</v>
      </c>
      <c r="T10" s="437">
        <f>O10+$F$19</f>
        <v>300</v>
      </c>
      <c r="U10" s="438">
        <f t="shared" si="4"/>
        <v>7000</v>
      </c>
    </row>
    <row r="11" spans="1:21">
      <c r="A11" s="608"/>
      <c r="B11" s="25" t="s">
        <v>625</v>
      </c>
      <c r="C11" s="452">
        <v>21</v>
      </c>
      <c r="D11" s="200" t="s">
        <v>32</v>
      </c>
      <c r="E11" s="238">
        <v>5</v>
      </c>
      <c r="F11" s="387">
        <f t="shared" si="0"/>
        <v>105</v>
      </c>
      <c r="H11">
        <v>16</v>
      </c>
      <c r="I11" s="439" t="s">
        <v>449</v>
      </c>
      <c r="J11" s="440" t="s">
        <v>387</v>
      </c>
      <c r="K11" s="510">
        <v>120</v>
      </c>
      <c r="L11" s="499">
        <v>900</v>
      </c>
      <c r="M11" s="499">
        <v>3600</v>
      </c>
      <c r="N11" s="499">
        <v>4700</v>
      </c>
      <c r="O11" s="499"/>
      <c r="P11" s="499">
        <v>2300</v>
      </c>
      <c r="Q11" s="487">
        <f t="shared" si="1"/>
        <v>1251</v>
      </c>
      <c r="R11" s="441">
        <f t="shared" si="2"/>
        <v>4731</v>
      </c>
      <c r="S11" s="441">
        <f t="shared" si="3"/>
        <v>6000</v>
      </c>
      <c r="T11" s="441"/>
      <c r="U11" s="442">
        <f t="shared" si="4"/>
        <v>2300</v>
      </c>
    </row>
    <row r="12" spans="1:21">
      <c r="A12" s="608"/>
      <c r="B12" s="25" t="s">
        <v>626</v>
      </c>
      <c r="C12" s="452">
        <v>28</v>
      </c>
      <c r="D12" s="200" t="s">
        <v>30</v>
      </c>
      <c r="E12" s="238">
        <v>5</v>
      </c>
      <c r="F12" s="387">
        <f t="shared" si="0"/>
        <v>140</v>
      </c>
      <c r="H12">
        <v>1</v>
      </c>
      <c r="I12" s="435" t="s">
        <v>502</v>
      </c>
      <c r="J12" s="436" t="s">
        <v>425</v>
      </c>
      <c r="K12" s="509">
        <v>15</v>
      </c>
      <c r="L12" s="498">
        <v>1</v>
      </c>
      <c r="M12" s="498">
        <v>75</v>
      </c>
      <c r="N12" s="498">
        <v>155</v>
      </c>
      <c r="O12" s="498"/>
      <c r="P12" s="498">
        <v>7000</v>
      </c>
      <c r="Q12" s="486">
        <f t="shared" ref="Q12:R14" si="5">L12</f>
        <v>1</v>
      </c>
      <c r="R12" s="437">
        <f t="shared" si="5"/>
        <v>75</v>
      </c>
      <c r="S12" s="437">
        <f>N12*(1+F25)</f>
        <v>248</v>
      </c>
      <c r="T12" s="437"/>
      <c r="U12" s="438">
        <f>P12*(1+F24)</f>
        <v>9520</v>
      </c>
    </row>
    <row r="13" spans="1:21">
      <c r="A13" s="608"/>
      <c r="B13" s="25" t="s">
        <v>627</v>
      </c>
      <c r="C13" s="452">
        <v>20</v>
      </c>
      <c r="D13" s="200" t="s">
        <v>31</v>
      </c>
      <c r="E13" s="238">
        <v>5</v>
      </c>
      <c r="F13" s="387">
        <f t="shared" si="0"/>
        <v>100</v>
      </c>
      <c r="H13">
        <v>10</v>
      </c>
      <c r="I13" s="435" t="s">
        <v>503</v>
      </c>
      <c r="J13" s="436" t="s">
        <v>425</v>
      </c>
      <c r="K13" s="509">
        <v>30</v>
      </c>
      <c r="L13" s="498">
        <v>1</v>
      </c>
      <c r="M13" s="498">
        <v>120</v>
      </c>
      <c r="N13" s="498">
        <v>300</v>
      </c>
      <c r="O13" s="498"/>
      <c r="P13" s="498">
        <v>15000</v>
      </c>
      <c r="Q13" s="486">
        <f t="shared" si="5"/>
        <v>1</v>
      </c>
      <c r="R13" s="437">
        <f t="shared" si="5"/>
        <v>120</v>
      </c>
      <c r="S13" s="437">
        <f>N13*(1+F28)</f>
        <v>975</v>
      </c>
      <c r="T13" s="437"/>
      <c r="U13" s="438">
        <f>P13*(1+F25)</f>
        <v>24000</v>
      </c>
    </row>
    <row r="14" spans="1:21">
      <c r="A14" s="608"/>
      <c r="B14" s="25" t="s">
        <v>437</v>
      </c>
      <c r="C14" s="452">
        <v>18</v>
      </c>
      <c r="D14" s="200" t="s">
        <v>31</v>
      </c>
      <c r="E14" s="375">
        <v>1.4999999999999999E-2</v>
      </c>
      <c r="F14" s="386">
        <f t="shared" si="0"/>
        <v>0.27</v>
      </c>
      <c r="H14">
        <v>15</v>
      </c>
      <c r="I14" s="439" t="s">
        <v>504</v>
      </c>
      <c r="J14" s="440" t="s">
        <v>425</v>
      </c>
      <c r="K14" s="510">
        <v>60</v>
      </c>
      <c r="L14" s="499">
        <v>1</v>
      </c>
      <c r="M14" s="499">
        <v>150</v>
      </c>
      <c r="N14" s="499">
        <v>800</v>
      </c>
      <c r="O14" s="499"/>
      <c r="P14" s="499">
        <v>40000</v>
      </c>
      <c r="Q14" s="487">
        <f t="shared" si="5"/>
        <v>1</v>
      </c>
      <c r="R14" s="441">
        <f t="shared" si="5"/>
        <v>150</v>
      </c>
      <c r="S14" s="441">
        <f>N14*(1+F29)</f>
        <v>2600</v>
      </c>
      <c r="T14" s="441"/>
      <c r="U14" s="442">
        <f>P14*(1+F28)</f>
        <v>130000</v>
      </c>
    </row>
    <row r="15" spans="1:21">
      <c r="A15" s="608"/>
      <c r="B15" s="25" t="s">
        <v>438</v>
      </c>
      <c r="C15" s="452">
        <v>20</v>
      </c>
      <c r="D15" s="200" t="s">
        <v>32</v>
      </c>
      <c r="E15" s="374">
        <v>0.02</v>
      </c>
      <c r="F15" s="406">
        <f t="shared" si="0"/>
        <v>0.4</v>
      </c>
      <c r="H15">
        <v>1</v>
      </c>
      <c r="I15" s="443" t="s">
        <v>66</v>
      </c>
      <c r="J15" s="444" t="s">
        <v>388</v>
      </c>
      <c r="K15" s="511">
        <v>15</v>
      </c>
      <c r="L15" s="500">
        <v>240</v>
      </c>
      <c r="M15" s="500">
        <v>70</v>
      </c>
      <c r="N15" s="500">
        <v>160</v>
      </c>
      <c r="O15" s="500"/>
      <c r="P15" s="500">
        <v>50</v>
      </c>
      <c r="Q15" s="488">
        <f>L15*(1+$F$16+$F$38)+$F$12</f>
        <v>488</v>
      </c>
      <c r="R15" s="445">
        <f>M15*(1+$F$14+$F$37)+$F$13</f>
        <v>188.9</v>
      </c>
      <c r="S15" s="445">
        <f>N15*(1+$F$15+$F$39)+$F$11</f>
        <v>335.4</v>
      </c>
      <c r="T15" s="445"/>
      <c r="U15" s="446">
        <f>P15</f>
        <v>50</v>
      </c>
    </row>
    <row r="16" spans="1:21">
      <c r="A16" s="609"/>
      <c r="B16" s="27" t="s">
        <v>440</v>
      </c>
      <c r="C16" s="453">
        <v>21</v>
      </c>
      <c r="D16" s="343" t="s">
        <v>30</v>
      </c>
      <c r="E16" s="389">
        <v>0.02</v>
      </c>
      <c r="F16" s="408">
        <f t="shared" si="0"/>
        <v>0.42</v>
      </c>
      <c r="H16">
        <v>3</v>
      </c>
      <c r="I16" s="443" t="s">
        <v>382</v>
      </c>
      <c r="J16" s="444" t="s">
        <v>388</v>
      </c>
      <c r="K16" s="511">
        <v>45</v>
      </c>
      <c r="L16" s="500">
        <v>380</v>
      </c>
      <c r="M16" s="500">
        <v>240</v>
      </c>
      <c r="N16" s="500">
        <v>380</v>
      </c>
      <c r="O16" s="500"/>
      <c r="P16" s="500"/>
      <c r="Q16" s="488">
        <f t="shared" ref="Q16:Q21" si="6">L16*(1+$F$16+$F$38)+$F$12</f>
        <v>691</v>
      </c>
      <c r="R16" s="445">
        <f t="shared" ref="R16:R21" si="7">M16*(1+$F$14+$F$37)+$F$13</f>
        <v>404.8</v>
      </c>
      <c r="S16" s="445">
        <f t="shared" ref="S16:S21" si="8">N16*(1+$F$15+$F$39)+$F$11</f>
        <v>652.19999999999993</v>
      </c>
      <c r="T16" s="445"/>
      <c r="U16" s="446"/>
    </row>
    <row r="17" spans="1:21">
      <c r="A17" s="612" t="s">
        <v>789</v>
      </c>
      <c r="B17" s="108" t="s">
        <v>720</v>
      </c>
      <c r="C17" s="454">
        <v>21</v>
      </c>
      <c r="D17" s="391" t="s">
        <v>31</v>
      </c>
      <c r="E17" s="394">
        <v>5</v>
      </c>
      <c r="F17" s="395">
        <f t="shared" si="0"/>
        <v>105</v>
      </c>
      <c r="H17">
        <v>5</v>
      </c>
      <c r="I17" s="443" t="s">
        <v>369</v>
      </c>
      <c r="J17" s="444" t="s">
        <v>388</v>
      </c>
      <c r="K17" s="511">
        <v>60</v>
      </c>
      <c r="L17" s="500">
        <v>155</v>
      </c>
      <c r="M17" s="500">
        <v>120</v>
      </c>
      <c r="N17" s="500">
        <v>195</v>
      </c>
      <c r="O17" s="500">
        <v>30</v>
      </c>
      <c r="P17" s="500">
        <v>185</v>
      </c>
      <c r="Q17" s="488">
        <f t="shared" si="6"/>
        <v>364.75</v>
      </c>
      <c r="R17" s="445">
        <f t="shared" si="7"/>
        <v>252.4</v>
      </c>
      <c r="S17" s="445">
        <f t="shared" si="8"/>
        <v>385.8</v>
      </c>
      <c r="T17" s="445">
        <f>O17+$F$10</f>
        <v>150</v>
      </c>
      <c r="U17" s="446">
        <f>P17</f>
        <v>185</v>
      </c>
    </row>
    <row r="18" spans="1:21">
      <c r="A18" s="608"/>
      <c r="B18" s="25" t="s">
        <v>721</v>
      </c>
      <c r="C18" s="452">
        <v>25</v>
      </c>
      <c r="D18" s="200" t="s">
        <v>32</v>
      </c>
      <c r="E18" s="238">
        <v>5</v>
      </c>
      <c r="F18" s="387">
        <f t="shared" si="0"/>
        <v>125</v>
      </c>
      <c r="H18">
        <v>7</v>
      </c>
      <c r="I18" s="443" t="s">
        <v>381</v>
      </c>
      <c r="J18" s="444" t="s">
        <v>388</v>
      </c>
      <c r="K18" s="511">
        <v>75</v>
      </c>
      <c r="L18" s="500">
        <v>1100</v>
      </c>
      <c r="M18" s="500">
        <v>1200</v>
      </c>
      <c r="N18" s="500">
        <v>1000</v>
      </c>
      <c r="O18" s="500"/>
      <c r="P18" s="500"/>
      <c r="Q18" s="488">
        <f t="shared" si="6"/>
        <v>1735</v>
      </c>
      <c r="R18" s="445">
        <f t="shared" si="7"/>
        <v>1624</v>
      </c>
      <c r="S18" s="445">
        <f t="shared" si="8"/>
        <v>1545</v>
      </c>
      <c r="T18" s="445"/>
      <c r="U18" s="446"/>
    </row>
    <row r="19" spans="1:21">
      <c r="A19" s="608"/>
      <c r="B19" s="25" t="s">
        <v>444</v>
      </c>
      <c r="C19" s="452">
        <v>20</v>
      </c>
      <c r="D19" s="200" t="s">
        <v>61</v>
      </c>
      <c r="E19" s="238">
        <v>5</v>
      </c>
      <c r="F19" s="387">
        <f t="shared" si="0"/>
        <v>100</v>
      </c>
      <c r="H19">
        <v>10</v>
      </c>
      <c r="I19" s="443" t="s">
        <v>374</v>
      </c>
      <c r="J19" s="444" t="s">
        <v>388</v>
      </c>
      <c r="K19" s="511">
        <v>120</v>
      </c>
      <c r="L19" s="500">
        <v>1400</v>
      </c>
      <c r="M19" s="500">
        <v>1590</v>
      </c>
      <c r="N19" s="500">
        <v>2450</v>
      </c>
      <c r="O19" s="500"/>
      <c r="P19" s="500"/>
      <c r="Q19" s="488">
        <f t="shared" si="6"/>
        <v>2170</v>
      </c>
      <c r="R19" s="445">
        <f t="shared" si="7"/>
        <v>2119.3000000000002</v>
      </c>
      <c r="S19" s="445">
        <f t="shared" si="8"/>
        <v>3633</v>
      </c>
      <c r="T19" s="445"/>
      <c r="U19" s="446"/>
    </row>
    <row r="20" spans="1:21">
      <c r="A20" s="608"/>
      <c r="B20" s="25" t="s">
        <v>722</v>
      </c>
      <c r="C20" s="452">
        <v>27</v>
      </c>
      <c r="D20" s="200" t="s">
        <v>30</v>
      </c>
      <c r="E20" s="238">
        <v>5</v>
      </c>
      <c r="F20" s="387">
        <f t="shared" si="0"/>
        <v>135</v>
      </c>
      <c r="H20">
        <v>12</v>
      </c>
      <c r="I20" s="443" t="s">
        <v>380</v>
      </c>
      <c r="J20" s="444" t="s">
        <v>388</v>
      </c>
      <c r="K20" s="511">
        <v>90</v>
      </c>
      <c r="L20" s="500">
        <v>1600</v>
      </c>
      <c r="M20" s="500">
        <v>1400</v>
      </c>
      <c r="N20" s="500">
        <v>1500</v>
      </c>
      <c r="O20" s="500"/>
      <c r="P20" s="500">
        <v>1000</v>
      </c>
      <c r="Q20" s="488">
        <f t="shared" si="6"/>
        <v>2460</v>
      </c>
      <c r="R20" s="445">
        <f t="shared" si="7"/>
        <v>1878</v>
      </c>
      <c r="S20" s="445">
        <f t="shared" si="8"/>
        <v>2265</v>
      </c>
      <c r="T20" s="445"/>
      <c r="U20" s="446">
        <f>P20</f>
        <v>1000</v>
      </c>
    </row>
    <row r="21" spans="1:21">
      <c r="A21" s="608"/>
      <c r="B21" s="25" t="s">
        <v>441</v>
      </c>
      <c r="C21" s="452">
        <v>21</v>
      </c>
      <c r="D21" s="200" t="s">
        <v>30</v>
      </c>
      <c r="E21" s="374">
        <v>0.01</v>
      </c>
      <c r="F21" s="386">
        <f t="shared" si="0"/>
        <v>0.21</v>
      </c>
      <c r="H21">
        <v>14</v>
      </c>
      <c r="I21" s="447" t="s">
        <v>65</v>
      </c>
      <c r="J21" s="448" t="s">
        <v>388</v>
      </c>
      <c r="K21" s="512">
        <v>210</v>
      </c>
      <c r="L21" s="501">
        <v>1830</v>
      </c>
      <c r="M21" s="501">
        <v>3200</v>
      </c>
      <c r="N21" s="501">
        <v>2450</v>
      </c>
      <c r="O21" s="501"/>
      <c r="P21" s="501"/>
      <c r="Q21" s="489">
        <f t="shared" si="6"/>
        <v>2793.5</v>
      </c>
      <c r="R21" s="449">
        <f t="shared" si="7"/>
        <v>4164</v>
      </c>
      <c r="S21" s="449">
        <f t="shared" si="8"/>
        <v>3633</v>
      </c>
      <c r="T21" s="449"/>
      <c r="U21" s="450"/>
    </row>
    <row r="22" spans="1:21">
      <c r="A22" s="608"/>
      <c r="B22" s="25" t="s">
        <v>442</v>
      </c>
      <c r="C22" s="452">
        <v>21</v>
      </c>
      <c r="D22" s="200" t="s">
        <v>32</v>
      </c>
      <c r="E22" s="374">
        <v>0.01</v>
      </c>
      <c r="F22" s="386">
        <f t="shared" si="0"/>
        <v>0.21</v>
      </c>
      <c r="H22">
        <v>1</v>
      </c>
      <c r="I22" s="419" t="s">
        <v>379</v>
      </c>
      <c r="J22" s="420" t="s">
        <v>389</v>
      </c>
      <c r="K22" s="513">
        <v>80</v>
      </c>
      <c r="L22" s="502">
        <v>1000</v>
      </c>
      <c r="M22" s="502">
        <v>775</v>
      </c>
      <c r="N22" s="502">
        <v>1050</v>
      </c>
      <c r="O22" s="502">
        <v>300</v>
      </c>
      <c r="P22" s="502">
        <v>10000</v>
      </c>
      <c r="Q22" s="490">
        <f>L22*(1+$F$4+$F$38)</f>
        <v>1390</v>
      </c>
      <c r="R22" s="421">
        <f>M22*(1+$F$5+$F$37)</f>
        <v>1054</v>
      </c>
      <c r="S22" s="421">
        <f>N22*(1+$F$6+$F$39)</f>
        <v>1281</v>
      </c>
      <c r="T22" s="421">
        <f>O22</f>
        <v>300</v>
      </c>
      <c r="U22" s="422">
        <f>P22</f>
        <v>10000</v>
      </c>
    </row>
    <row r="23" spans="1:21">
      <c r="A23" s="609"/>
      <c r="B23" s="27" t="s">
        <v>443</v>
      </c>
      <c r="C23" s="453">
        <v>19</v>
      </c>
      <c r="D23" s="343" t="s">
        <v>31</v>
      </c>
      <c r="E23" s="396">
        <v>1.4999999999999999E-2</v>
      </c>
      <c r="F23" s="390">
        <f t="shared" si="0"/>
        <v>0.28499999999999998</v>
      </c>
      <c r="H23">
        <v>5</v>
      </c>
      <c r="I23" s="419" t="s">
        <v>378</v>
      </c>
      <c r="J23" s="420" t="s">
        <v>389</v>
      </c>
      <c r="K23" s="513">
        <v>180</v>
      </c>
      <c r="L23" s="502">
        <v>1475</v>
      </c>
      <c r="M23" s="502">
        <v>2200</v>
      </c>
      <c r="N23" s="502">
        <v>2700</v>
      </c>
      <c r="O23" s="502"/>
      <c r="P23" s="502"/>
      <c r="Q23" s="490">
        <f>L23*(1+$F$4+$F$38)</f>
        <v>2050.25</v>
      </c>
      <c r="R23" s="421">
        <f>M23*(1+$F$5+$F$37)</f>
        <v>2991.9999999999995</v>
      </c>
      <c r="S23" s="421">
        <f>N23*(1+$F$6+$F$39)</f>
        <v>3294</v>
      </c>
      <c r="T23" s="421"/>
      <c r="U23" s="422"/>
    </row>
    <row r="24" spans="1:21" ht="15" customHeight="1">
      <c r="A24" s="606" t="s">
        <v>425</v>
      </c>
      <c r="B24" s="108" t="s">
        <v>501</v>
      </c>
      <c r="C24" s="454">
        <v>12</v>
      </c>
      <c r="D24" s="391" t="s">
        <v>62</v>
      </c>
      <c r="E24" s="397">
        <v>0.03</v>
      </c>
      <c r="F24" s="409">
        <f t="shared" si="0"/>
        <v>0.36</v>
      </c>
      <c r="H24">
        <v>9</v>
      </c>
      <c r="I24" s="419" t="s">
        <v>377</v>
      </c>
      <c r="J24" s="420" t="s">
        <v>389</v>
      </c>
      <c r="K24" s="513">
        <v>140</v>
      </c>
      <c r="L24" s="502">
        <v>1320</v>
      </c>
      <c r="M24" s="502">
        <v>800</v>
      </c>
      <c r="N24" s="502">
        <v>1425</v>
      </c>
      <c r="O24" s="502"/>
      <c r="P24" s="502"/>
      <c r="Q24" s="490">
        <f>L24*(1+$F$4+$F$38)</f>
        <v>1834.8</v>
      </c>
      <c r="R24" s="421">
        <f>M24*(1+$F$5+$F$37)</f>
        <v>1088</v>
      </c>
      <c r="S24" s="421">
        <f>N24*(1+$F$6+$F$39)</f>
        <v>1738.5</v>
      </c>
      <c r="T24" s="421"/>
      <c r="U24" s="422"/>
    </row>
    <row r="25" spans="1:21">
      <c r="A25" s="607"/>
      <c r="B25" s="27" t="s">
        <v>506</v>
      </c>
      <c r="C25" s="453">
        <v>12</v>
      </c>
      <c r="D25" s="343" t="s">
        <v>32</v>
      </c>
      <c r="E25" s="389">
        <v>0.05</v>
      </c>
      <c r="F25" s="408">
        <f t="shared" si="0"/>
        <v>0.60000000000000009</v>
      </c>
      <c r="H25">
        <v>13</v>
      </c>
      <c r="I25" s="419" t="s">
        <v>376</v>
      </c>
      <c r="J25" s="420" t="s">
        <v>389</v>
      </c>
      <c r="K25" s="513">
        <v>240</v>
      </c>
      <c r="L25" s="502">
        <v>5215</v>
      </c>
      <c r="M25" s="502">
        <v>4685</v>
      </c>
      <c r="N25" s="502">
        <v>4985</v>
      </c>
      <c r="O25" s="502"/>
      <c r="P25" s="502"/>
      <c r="Q25" s="490">
        <f>L25*(1+$F$4+$F$38)</f>
        <v>7248.8499999999995</v>
      </c>
      <c r="R25" s="421">
        <f>M25*(1+$F$5+$F$37)</f>
        <v>6371.5999999999995</v>
      </c>
      <c r="S25" s="421">
        <f>N25*(1+$F$6+$F$39)</f>
        <v>6081.7</v>
      </c>
      <c r="T25" s="421"/>
      <c r="U25" s="422"/>
    </row>
    <row r="26" spans="1:21" ht="15" customHeight="1">
      <c r="A26" s="612" t="s">
        <v>426</v>
      </c>
      <c r="B26" s="108" t="s">
        <v>819</v>
      </c>
      <c r="C26" s="454">
        <v>15</v>
      </c>
      <c r="D26" s="391" t="s">
        <v>32</v>
      </c>
      <c r="E26" s="397">
        <v>0.2</v>
      </c>
      <c r="F26" s="409">
        <f t="shared" ref="F26:F35" si="9">C26*E26</f>
        <v>3</v>
      </c>
      <c r="H26">
        <v>18</v>
      </c>
      <c r="I26" s="423" t="s">
        <v>68</v>
      </c>
      <c r="J26" s="424" t="s">
        <v>389</v>
      </c>
      <c r="K26" s="514">
        <v>300</v>
      </c>
      <c r="L26" s="503">
        <v>6200</v>
      </c>
      <c r="M26" s="503">
        <v>5200</v>
      </c>
      <c r="N26" s="503">
        <v>7200</v>
      </c>
      <c r="O26" s="503"/>
      <c r="P26" s="503"/>
      <c r="Q26" s="491">
        <f>L26*(1+$F$4+$F$38)</f>
        <v>8618</v>
      </c>
      <c r="R26" s="425">
        <f>M26*(1+$F$5+$F$37)</f>
        <v>7071.9999999999991</v>
      </c>
      <c r="S26" s="425">
        <f>N26*(1+$F$6+$F$39)</f>
        <v>8784</v>
      </c>
      <c r="T26" s="425"/>
      <c r="U26" s="426"/>
    </row>
    <row r="27" spans="1:21">
      <c r="A27" s="608"/>
      <c r="B27" s="25" t="s">
        <v>818</v>
      </c>
      <c r="C27" s="452">
        <v>15</v>
      </c>
      <c r="D27" s="200" t="s">
        <v>30</v>
      </c>
      <c r="E27" s="374">
        <v>0.2</v>
      </c>
      <c r="F27" s="406">
        <f t="shared" si="9"/>
        <v>3</v>
      </c>
      <c r="H27">
        <v>1</v>
      </c>
      <c r="I27" s="411" t="s">
        <v>390</v>
      </c>
      <c r="J27" s="412" t="s">
        <v>390</v>
      </c>
      <c r="K27" s="515">
        <f>200/15*C43</f>
        <v>200</v>
      </c>
      <c r="L27" s="504">
        <v>410</v>
      </c>
      <c r="M27" s="504">
        <v>395</v>
      </c>
      <c r="N27" s="504">
        <v>390</v>
      </c>
      <c r="O27" s="504"/>
      <c r="P27" s="504"/>
      <c r="Q27" s="492">
        <f>L27*$F$41*$F$43*(1+$F$9+$F$38)</f>
        <v>5357.88</v>
      </c>
      <c r="R27" s="413">
        <f>M27*$F$41*$F$43*(1+$F$7+$F$37)</f>
        <v>6185.7</v>
      </c>
      <c r="S27" s="413">
        <f>N27*$F$41*$F$43*(1+$F$8+$F$39)</f>
        <v>5180.76</v>
      </c>
      <c r="T27" s="413"/>
      <c r="U27" s="414"/>
    </row>
    <row r="28" spans="1:21">
      <c r="A28" s="608"/>
      <c r="B28" s="25" t="s">
        <v>744</v>
      </c>
      <c r="C28" s="452">
        <v>15</v>
      </c>
      <c r="D28" s="200" t="s">
        <v>32</v>
      </c>
      <c r="E28" s="374">
        <v>0.15</v>
      </c>
      <c r="F28" s="406">
        <f t="shared" si="9"/>
        <v>2.25</v>
      </c>
      <c r="H28">
        <v>4</v>
      </c>
      <c r="I28" s="411" t="s">
        <v>713</v>
      </c>
      <c r="J28" s="412" t="s">
        <v>390</v>
      </c>
      <c r="K28" s="515">
        <f>225/15*C43</f>
        <v>225</v>
      </c>
      <c r="L28" s="504">
        <v>127</v>
      </c>
      <c r="M28" s="504">
        <v>440</v>
      </c>
      <c r="N28" s="504">
        <v>625</v>
      </c>
      <c r="O28" s="504"/>
      <c r="P28" s="504"/>
      <c r="Q28" s="492">
        <f>L28*$F$41*$F$43*(1+$F$9+$F$38)</f>
        <v>1659.6360000000002</v>
      </c>
      <c r="R28" s="413">
        <f>M28*$F$41*$F$43*(1+$F$7+$F$37)</f>
        <v>6890.4</v>
      </c>
      <c r="S28" s="413">
        <f>N28*$F$41*$F$43*(1+$F$8+$F$39)</f>
        <v>8302.5</v>
      </c>
      <c r="T28" s="413"/>
      <c r="U28" s="414"/>
    </row>
    <row r="29" spans="1:21">
      <c r="A29" s="608"/>
      <c r="B29" s="25" t="s">
        <v>745</v>
      </c>
      <c r="C29" s="452">
        <v>15</v>
      </c>
      <c r="D29" s="200" t="s">
        <v>30</v>
      </c>
      <c r="E29" s="374">
        <v>0.15</v>
      </c>
      <c r="F29" s="406">
        <f t="shared" si="9"/>
        <v>2.25</v>
      </c>
      <c r="H29">
        <v>7</v>
      </c>
      <c r="I29" s="411" t="s">
        <v>791</v>
      </c>
      <c r="J29" s="412" t="s">
        <v>390</v>
      </c>
      <c r="K29" s="515">
        <f>250/15*C43</f>
        <v>250.00000000000003</v>
      </c>
      <c r="L29" s="504">
        <v>396</v>
      </c>
      <c r="M29" s="504">
        <v>305</v>
      </c>
      <c r="N29" s="504">
        <v>351</v>
      </c>
      <c r="O29" s="504"/>
      <c r="P29" s="504"/>
      <c r="Q29" s="492">
        <f>L29*$F$41*$F$43*(1+$F$9+$F$38)</f>
        <v>5174.9279999999999</v>
      </c>
      <c r="R29" s="413">
        <f>M29*$F$41*$F$43*(1+$F$7+$F$37)</f>
        <v>4776.3</v>
      </c>
      <c r="S29" s="413">
        <f>N29*$F$41*$F$43*(1+$F$8+$F$39)</f>
        <v>4662.6840000000002</v>
      </c>
      <c r="T29" s="413"/>
      <c r="U29" s="414"/>
    </row>
    <row r="30" spans="1:21">
      <c r="A30" s="608"/>
      <c r="B30" s="25" t="s">
        <v>723</v>
      </c>
      <c r="C30" s="452">
        <v>20</v>
      </c>
      <c r="D30" s="200" t="s">
        <v>30</v>
      </c>
      <c r="E30" s="374">
        <v>0.1</v>
      </c>
      <c r="F30" s="406">
        <f t="shared" si="9"/>
        <v>2</v>
      </c>
      <c r="H30">
        <v>10</v>
      </c>
      <c r="I30" s="411" t="s">
        <v>370</v>
      </c>
      <c r="J30" s="412" t="s">
        <v>390</v>
      </c>
      <c r="K30" s="515">
        <f>275/15*C43</f>
        <v>275</v>
      </c>
      <c r="L30" s="504">
        <v>498</v>
      </c>
      <c r="M30" s="504">
        <v>455</v>
      </c>
      <c r="N30" s="504">
        <v>508</v>
      </c>
      <c r="O30" s="504"/>
      <c r="P30" s="504"/>
      <c r="Q30" s="492">
        <f>L30*$F$41*$F$43*(1+$F$9+$F$38)</f>
        <v>6507.8640000000005</v>
      </c>
      <c r="R30" s="413">
        <f>M30*$F$41*$F$43*(1+$F$7+$F$37)</f>
        <v>7125.3</v>
      </c>
      <c r="S30" s="413">
        <f>N30*$F$41*$F$43*(1+$F$8+$F$39)</f>
        <v>6748.2720000000008</v>
      </c>
      <c r="T30" s="413"/>
      <c r="U30" s="414"/>
    </row>
    <row r="31" spans="1:21">
      <c r="A31" s="608"/>
      <c r="B31" s="25" t="s">
        <v>724</v>
      </c>
      <c r="C31" s="452">
        <v>20</v>
      </c>
      <c r="D31" s="200" t="s">
        <v>32</v>
      </c>
      <c r="E31" s="374">
        <v>0.1</v>
      </c>
      <c r="F31" s="406">
        <f t="shared" si="9"/>
        <v>2</v>
      </c>
      <c r="H31">
        <v>13</v>
      </c>
      <c r="I31" s="415" t="s">
        <v>63</v>
      </c>
      <c r="J31" s="416" t="s">
        <v>390</v>
      </c>
      <c r="K31" s="516">
        <f>300/15*C43</f>
        <v>300</v>
      </c>
      <c r="L31" s="505">
        <v>623</v>
      </c>
      <c r="M31" s="505">
        <v>127</v>
      </c>
      <c r="N31" s="505">
        <v>278</v>
      </c>
      <c r="O31" s="505"/>
      <c r="P31" s="505"/>
      <c r="Q31" s="493">
        <f>L31*$F$41*$F$43*(1+$F$9+$F$38)</f>
        <v>8141.3640000000005</v>
      </c>
      <c r="R31" s="417">
        <f>M31*$F$41*$F$43*(1+$F$7+$F$37)</f>
        <v>1988.8200000000002</v>
      </c>
      <c r="S31" s="417">
        <f>N31*$F$41*$F$43*(1+$F$8+$F$39)</f>
        <v>3692.9520000000002</v>
      </c>
      <c r="T31" s="417"/>
      <c r="U31" s="418"/>
    </row>
    <row r="32" spans="1:21">
      <c r="A32" s="608"/>
      <c r="B32" s="25" t="s">
        <v>491</v>
      </c>
      <c r="C32" s="452">
        <v>25</v>
      </c>
      <c r="D32" s="200" t="s">
        <v>30</v>
      </c>
      <c r="E32" s="374">
        <v>0.05</v>
      </c>
      <c r="F32" s="406">
        <f t="shared" si="9"/>
        <v>1.25</v>
      </c>
      <c r="H32">
        <v>1</v>
      </c>
      <c r="I32" s="427" t="s">
        <v>792</v>
      </c>
      <c r="J32" s="428" t="s">
        <v>798</v>
      </c>
      <c r="K32" s="517">
        <v>50</v>
      </c>
      <c r="L32" s="506">
        <v>175</v>
      </c>
      <c r="M32" s="506">
        <v>500</v>
      </c>
      <c r="N32" s="506">
        <v>550</v>
      </c>
      <c r="O32" s="506"/>
      <c r="P32" s="506"/>
      <c r="Q32" s="494">
        <f t="shared" ref="Q32:Q48" si="10">L32*(1+$F$29+$F$30+$F$32)</f>
        <v>1137.5</v>
      </c>
      <c r="R32" s="429">
        <f t="shared" ref="R32:R48" si="11">M32*(1+$F$35)</f>
        <v>1125</v>
      </c>
      <c r="S32" s="429">
        <f t="shared" ref="S32:S48" si="12">N32*(1+$F$28+$F$31+$F$33)</f>
        <v>3575</v>
      </c>
      <c r="T32" s="429"/>
      <c r="U32" s="430"/>
    </row>
    <row r="33" spans="1:21">
      <c r="A33" s="608"/>
      <c r="B33" s="25" t="s">
        <v>492</v>
      </c>
      <c r="C33" s="452">
        <v>25</v>
      </c>
      <c r="D33" s="200" t="s">
        <v>32</v>
      </c>
      <c r="E33" s="374">
        <v>0.05</v>
      </c>
      <c r="F33" s="406">
        <f t="shared" si="9"/>
        <v>1.25</v>
      </c>
      <c r="H33">
        <v>2</v>
      </c>
      <c r="I33" s="427" t="s">
        <v>806</v>
      </c>
      <c r="J33" s="428" t="s">
        <v>798</v>
      </c>
      <c r="K33" s="517">
        <v>50</v>
      </c>
      <c r="L33" s="506">
        <v>0</v>
      </c>
      <c r="M33" s="506">
        <v>300</v>
      </c>
      <c r="N33" s="506">
        <v>250</v>
      </c>
      <c r="O33" s="506">
        <v>10</v>
      </c>
      <c r="P33" s="506"/>
      <c r="Q33" s="494">
        <f t="shared" si="10"/>
        <v>0</v>
      </c>
      <c r="R33" s="429">
        <f t="shared" si="11"/>
        <v>675</v>
      </c>
      <c r="S33" s="429">
        <f t="shared" si="12"/>
        <v>1625</v>
      </c>
      <c r="T33" s="429">
        <f>O33+$F$34</f>
        <v>510</v>
      </c>
      <c r="U33" s="430"/>
    </row>
    <row r="34" spans="1:21">
      <c r="A34" s="608"/>
      <c r="B34" s="25" t="s">
        <v>493</v>
      </c>
      <c r="C34" s="452">
        <v>20</v>
      </c>
      <c r="D34" s="200" t="s">
        <v>61</v>
      </c>
      <c r="E34" s="238">
        <v>25</v>
      </c>
      <c r="F34" s="387">
        <f t="shared" si="9"/>
        <v>500</v>
      </c>
      <c r="H34">
        <v>3</v>
      </c>
      <c r="I34" s="427" t="s">
        <v>793</v>
      </c>
      <c r="J34" s="428" t="s">
        <v>798</v>
      </c>
      <c r="K34" s="517">
        <v>300</v>
      </c>
      <c r="L34" s="506">
        <v>0</v>
      </c>
      <c r="M34" s="506">
        <v>5000</v>
      </c>
      <c r="N34" s="506">
        <v>10000</v>
      </c>
      <c r="O34" s="506"/>
      <c r="P34" s="506"/>
      <c r="Q34" s="494">
        <f t="shared" si="10"/>
        <v>0</v>
      </c>
      <c r="R34" s="429">
        <f t="shared" si="11"/>
        <v>11250</v>
      </c>
      <c r="S34" s="429">
        <f t="shared" si="12"/>
        <v>65000</v>
      </c>
      <c r="T34" s="429"/>
      <c r="U34" s="430"/>
    </row>
    <row r="35" spans="1:21">
      <c r="A35" s="609"/>
      <c r="B35" s="27" t="s">
        <v>494</v>
      </c>
      <c r="C35" s="453">
        <v>25</v>
      </c>
      <c r="D35" s="343" t="s">
        <v>31</v>
      </c>
      <c r="E35" s="389">
        <v>0.05</v>
      </c>
      <c r="F35" s="408">
        <f t="shared" si="9"/>
        <v>1.25</v>
      </c>
      <c r="H35">
        <v>4</v>
      </c>
      <c r="I35" s="427" t="s">
        <v>794</v>
      </c>
      <c r="J35" s="428" t="s">
        <v>798</v>
      </c>
      <c r="K35" s="517">
        <v>100</v>
      </c>
      <c r="L35" s="506">
        <v>800</v>
      </c>
      <c r="M35" s="506">
        <v>800</v>
      </c>
      <c r="N35" s="506">
        <v>800</v>
      </c>
      <c r="O35" s="506"/>
      <c r="P35" s="506"/>
      <c r="Q35" s="494">
        <f t="shared" si="10"/>
        <v>5200</v>
      </c>
      <c r="R35" s="429">
        <f t="shared" si="11"/>
        <v>1800</v>
      </c>
      <c r="S35" s="429">
        <f t="shared" si="12"/>
        <v>5200</v>
      </c>
      <c r="T35" s="429"/>
      <c r="U35" s="430"/>
    </row>
    <row r="36" spans="1:21">
      <c r="A36" s="109"/>
      <c r="B36" s="69" t="s">
        <v>687</v>
      </c>
      <c r="C36" s="398" t="s">
        <v>59</v>
      </c>
      <c r="D36" s="398" t="s">
        <v>383</v>
      </c>
      <c r="E36" s="373" t="s">
        <v>785</v>
      </c>
      <c r="F36" s="399" t="s">
        <v>433</v>
      </c>
      <c r="H36">
        <v>5</v>
      </c>
      <c r="I36" s="427" t="s">
        <v>795</v>
      </c>
      <c r="J36" s="428" t="s">
        <v>798</v>
      </c>
      <c r="K36" s="517">
        <v>10</v>
      </c>
      <c r="L36" s="506">
        <v>300</v>
      </c>
      <c r="M36" s="506">
        <v>10</v>
      </c>
      <c r="N36" s="506">
        <v>35</v>
      </c>
      <c r="O36" s="506"/>
      <c r="P36" s="506"/>
      <c r="Q36" s="494">
        <f t="shared" si="10"/>
        <v>1950</v>
      </c>
      <c r="R36" s="429">
        <f t="shared" si="11"/>
        <v>22.5</v>
      </c>
      <c r="S36" s="429">
        <f t="shared" si="12"/>
        <v>227.5</v>
      </c>
      <c r="T36" s="429"/>
      <c r="U36" s="430"/>
    </row>
    <row r="37" spans="1:21">
      <c r="A37" s="608" t="s">
        <v>790</v>
      </c>
      <c r="B37" s="25" t="s">
        <v>445</v>
      </c>
      <c r="C37" s="452">
        <v>0</v>
      </c>
      <c r="D37" s="200" t="s">
        <v>31</v>
      </c>
      <c r="E37" s="374">
        <v>0.05</v>
      </c>
      <c r="F37" s="406">
        <f>C37*E37</f>
        <v>0</v>
      </c>
      <c r="H37">
        <v>6</v>
      </c>
      <c r="I37" s="427" t="s">
        <v>808</v>
      </c>
      <c r="J37" s="428" t="s">
        <v>798</v>
      </c>
      <c r="K37" s="517">
        <v>75</v>
      </c>
      <c r="L37" s="506">
        <v>0</v>
      </c>
      <c r="M37" s="506">
        <v>1400</v>
      </c>
      <c r="N37" s="506">
        <v>2000</v>
      </c>
      <c r="O37" s="506">
        <v>20</v>
      </c>
      <c r="P37" s="506"/>
      <c r="Q37" s="494">
        <f t="shared" si="10"/>
        <v>0</v>
      </c>
      <c r="R37" s="429">
        <f t="shared" si="11"/>
        <v>3150</v>
      </c>
      <c r="S37" s="429">
        <f t="shared" si="12"/>
        <v>13000</v>
      </c>
      <c r="T37" s="429">
        <f>O37+$F$34</f>
        <v>520</v>
      </c>
      <c r="U37" s="430"/>
    </row>
    <row r="38" spans="1:21">
      <c r="A38" s="608"/>
      <c r="B38" s="25" t="s">
        <v>447</v>
      </c>
      <c r="C38" s="452">
        <v>1</v>
      </c>
      <c r="D38" s="200" t="s">
        <v>30</v>
      </c>
      <c r="E38" s="374">
        <v>0.03</v>
      </c>
      <c r="F38" s="406">
        <f>C38*E38</f>
        <v>0.03</v>
      </c>
      <c r="H38">
        <v>8</v>
      </c>
      <c r="I38" s="427" t="s">
        <v>803</v>
      </c>
      <c r="J38" s="428" t="s">
        <v>798</v>
      </c>
      <c r="K38" s="517">
        <v>200</v>
      </c>
      <c r="L38" s="506">
        <v>1200</v>
      </c>
      <c r="M38" s="506">
        <v>800</v>
      </c>
      <c r="N38" s="506">
        <v>800</v>
      </c>
      <c r="O38" s="506"/>
      <c r="P38" s="506"/>
      <c r="Q38" s="494">
        <f t="shared" si="10"/>
        <v>7800</v>
      </c>
      <c r="R38" s="429">
        <f t="shared" si="11"/>
        <v>1800</v>
      </c>
      <c r="S38" s="429">
        <f t="shared" si="12"/>
        <v>5200</v>
      </c>
      <c r="T38" s="429"/>
      <c r="U38" s="430"/>
    </row>
    <row r="39" spans="1:21">
      <c r="A39" s="609"/>
      <c r="B39" s="27" t="s">
        <v>446</v>
      </c>
      <c r="C39" s="453">
        <v>2</v>
      </c>
      <c r="D39" s="343" t="s">
        <v>32</v>
      </c>
      <c r="E39" s="389">
        <v>0.02</v>
      </c>
      <c r="F39" s="408">
        <f>C39*E39</f>
        <v>0.04</v>
      </c>
      <c r="H39">
        <v>8</v>
      </c>
      <c r="I39" s="427" t="s">
        <v>804</v>
      </c>
      <c r="J39" s="428" t="s">
        <v>798</v>
      </c>
      <c r="K39" s="517">
        <v>200</v>
      </c>
      <c r="L39" s="506">
        <v>1200</v>
      </c>
      <c r="M39" s="506">
        <v>800</v>
      </c>
      <c r="N39" s="506">
        <v>800</v>
      </c>
      <c r="O39" s="506"/>
      <c r="P39" s="506"/>
      <c r="Q39" s="494">
        <f t="shared" si="10"/>
        <v>7800</v>
      </c>
      <c r="R39" s="429">
        <f t="shared" si="11"/>
        <v>1800</v>
      </c>
      <c r="S39" s="429">
        <f t="shared" si="12"/>
        <v>5200</v>
      </c>
      <c r="T39" s="429"/>
      <c r="U39" s="430"/>
    </row>
    <row r="40" spans="1:21">
      <c r="A40" s="400"/>
      <c r="B40" s="401"/>
      <c r="C40" s="402" t="s">
        <v>59</v>
      </c>
      <c r="D40" s="403"/>
      <c r="E40" s="404"/>
      <c r="F40" s="405" t="s">
        <v>801</v>
      </c>
      <c r="H40">
        <v>8</v>
      </c>
      <c r="I40" s="427" t="s">
        <v>805</v>
      </c>
      <c r="J40" s="428" t="s">
        <v>798</v>
      </c>
      <c r="K40" s="517">
        <v>200</v>
      </c>
      <c r="L40" s="506">
        <v>1400</v>
      </c>
      <c r="M40" s="506">
        <v>800</v>
      </c>
      <c r="N40" s="506">
        <v>800</v>
      </c>
      <c r="O40" s="506"/>
      <c r="P40" s="506"/>
      <c r="Q40" s="494">
        <f t="shared" si="10"/>
        <v>9100</v>
      </c>
      <c r="R40" s="429">
        <f t="shared" si="11"/>
        <v>1800</v>
      </c>
      <c r="S40" s="429">
        <f t="shared" si="12"/>
        <v>5200</v>
      </c>
      <c r="T40" s="429"/>
      <c r="U40" s="430"/>
    </row>
    <row r="41" spans="1:21">
      <c r="A41" s="608" t="s">
        <v>787</v>
      </c>
      <c r="B41" s="25" t="s">
        <v>365</v>
      </c>
      <c r="C41" s="453">
        <v>12</v>
      </c>
      <c r="D41" s="200" t="s">
        <v>799</v>
      </c>
      <c r="E41" s="374">
        <v>1</v>
      </c>
      <c r="F41" s="406">
        <f>C41*E41</f>
        <v>12</v>
      </c>
      <c r="H41">
        <v>8</v>
      </c>
      <c r="I41" s="427" t="s">
        <v>810</v>
      </c>
      <c r="J41" s="428" t="s">
        <v>798</v>
      </c>
      <c r="K41" s="517">
        <v>200</v>
      </c>
      <c r="L41" s="506">
        <v>1400</v>
      </c>
      <c r="M41" s="506">
        <v>800</v>
      </c>
      <c r="N41" s="506">
        <v>800</v>
      </c>
      <c r="O41" s="506"/>
      <c r="P41" s="506"/>
      <c r="Q41" s="494">
        <f t="shared" si="10"/>
        <v>9100</v>
      </c>
      <c r="R41" s="429">
        <f t="shared" si="11"/>
        <v>1800</v>
      </c>
      <c r="S41" s="429">
        <f t="shared" si="12"/>
        <v>5200</v>
      </c>
      <c r="T41" s="429"/>
      <c r="U41" s="430"/>
    </row>
    <row r="42" spans="1:21">
      <c r="A42" s="608"/>
      <c r="B42" s="25"/>
      <c r="C42" s="299" t="s">
        <v>758</v>
      </c>
      <c r="D42" s="200"/>
      <c r="E42" s="238"/>
      <c r="F42" s="387"/>
      <c r="H42">
        <v>10</v>
      </c>
      <c r="I42" s="427" t="s">
        <v>797</v>
      </c>
      <c r="J42" s="428" t="s">
        <v>798</v>
      </c>
      <c r="K42" s="517">
        <v>800</v>
      </c>
      <c r="L42" s="506">
        <v>0</v>
      </c>
      <c r="M42" s="506">
        <v>30000</v>
      </c>
      <c r="N42" s="506">
        <v>50000</v>
      </c>
      <c r="O42" s="506"/>
      <c r="P42" s="506"/>
      <c r="Q42" s="494">
        <f t="shared" si="10"/>
        <v>0</v>
      </c>
      <c r="R42" s="429">
        <f t="shared" si="11"/>
        <v>67500</v>
      </c>
      <c r="S42" s="429">
        <f t="shared" si="12"/>
        <v>325000</v>
      </c>
      <c r="T42" s="429"/>
      <c r="U42" s="430"/>
    </row>
    <row r="43" spans="1:21" ht="15.75" thickBot="1">
      <c r="A43" s="610"/>
      <c r="B43" s="106" t="s">
        <v>800</v>
      </c>
      <c r="C43" s="455">
        <v>15</v>
      </c>
      <c r="D43" s="383" t="s">
        <v>799</v>
      </c>
      <c r="E43" s="376"/>
      <c r="F43" s="407">
        <f>IF(C43=2.5,0.1,IF(C43=5,0.2,IF(C43=7.5,0.4,IF(C43=10,0.5,IF(C43=12.5,0.7,IF(C43=15,0.9,0))))))</f>
        <v>0.9</v>
      </c>
      <c r="H43">
        <v>12</v>
      </c>
      <c r="I43" s="427" t="s">
        <v>796</v>
      </c>
      <c r="J43" s="428" t="s">
        <v>798</v>
      </c>
      <c r="K43" s="517">
        <v>400</v>
      </c>
      <c r="L43" s="506">
        <v>10000</v>
      </c>
      <c r="M43" s="506">
        <v>6000</v>
      </c>
      <c r="N43" s="506">
        <v>5000</v>
      </c>
      <c r="O43" s="506"/>
      <c r="P43" s="506"/>
      <c r="Q43" s="494">
        <f t="shared" si="10"/>
        <v>65000</v>
      </c>
      <c r="R43" s="429">
        <f t="shared" si="11"/>
        <v>13500</v>
      </c>
      <c r="S43" s="429">
        <f t="shared" si="12"/>
        <v>32500</v>
      </c>
      <c r="T43" s="429"/>
      <c r="U43" s="430"/>
    </row>
    <row r="44" spans="1:21">
      <c r="H44">
        <v>13</v>
      </c>
      <c r="I44" s="427" t="s">
        <v>807</v>
      </c>
      <c r="J44" s="428" t="s">
        <v>798</v>
      </c>
      <c r="K44" s="517">
        <v>200</v>
      </c>
      <c r="L44" s="506">
        <v>0</v>
      </c>
      <c r="M44" s="506">
        <v>7500</v>
      </c>
      <c r="N44" s="506">
        <v>10000</v>
      </c>
      <c r="O44" s="506">
        <v>30</v>
      </c>
      <c r="P44" s="506"/>
      <c r="Q44" s="494">
        <f t="shared" si="10"/>
        <v>0</v>
      </c>
      <c r="R44" s="429">
        <f t="shared" si="11"/>
        <v>16875</v>
      </c>
      <c r="S44" s="429">
        <f t="shared" si="12"/>
        <v>65000</v>
      </c>
      <c r="T44" s="429">
        <f>O44+$F$34</f>
        <v>530</v>
      </c>
      <c r="U44" s="430"/>
    </row>
    <row r="45" spans="1:21">
      <c r="H45">
        <v>15</v>
      </c>
      <c r="I45" s="427" t="s">
        <v>813</v>
      </c>
      <c r="J45" s="428" t="s">
        <v>798</v>
      </c>
      <c r="K45" s="517">
        <v>200</v>
      </c>
      <c r="L45" s="506">
        <v>1200</v>
      </c>
      <c r="M45" s="506">
        <v>800</v>
      </c>
      <c r="N45" s="506">
        <v>800</v>
      </c>
      <c r="O45" s="506"/>
      <c r="P45" s="506"/>
      <c r="Q45" s="494">
        <f t="shared" si="10"/>
        <v>7800</v>
      </c>
      <c r="R45" s="429">
        <f t="shared" si="11"/>
        <v>1800</v>
      </c>
      <c r="S45" s="429">
        <f t="shared" si="12"/>
        <v>5200</v>
      </c>
      <c r="T45" s="429"/>
      <c r="U45" s="430"/>
    </row>
    <row r="46" spans="1:21">
      <c r="H46">
        <v>15</v>
      </c>
      <c r="I46" s="427" t="s">
        <v>814</v>
      </c>
      <c r="J46" s="428" t="s">
        <v>798</v>
      </c>
      <c r="K46" s="517">
        <v>200</v>
      </c>
      <c r="L46" s="506">
        <v>1200</v>
      </c>
      <c r="M46" s="506">
        <v>800</v>
      </c>
      <c r="N46" s="506">
        <v>800</v>
      </c>
      <c r="O46" s="506"/>
      <c r="P46" s="506"/>
      <c r="Q46" s="494">
        <f t="shared" si="10"/>
        <v>7800</v>
      </c>
      <c r="R46" s="429">
        <f t="shared" si="11"/>
        <v>1800</v>
      </c>
      <c r="S46" s="429">
        <f t="shared" si="12"/>
        <v>5200</v>
      </c>
      <c r="T46" s="429"/>
      <c r="U46" s="430"/>
    </row>
    <row r="47" spans="1:21">
      <c r="H47">
        <v>15</v>
      </c>
      <c r="I47" s="427" t="s">
        <v>811</v>
      </c>
      <c r="J47" s="428" t="s">
        <v>798</v>
      </c>
      <c r="K47" s="517">
        <v>200</v>
      </c>
      <c r="L47" s="506">
        <v>1400</v>
      </c>
      <c r="M47" s="506">
        <v>800</v>
      </c>
      <c r="N47" s="506">
        <v>800</v>
      </c>
      <c r="O47" s="506"/>
      <c r="P47" s="506"/>
      <c r="Q47" s="494">
        <f t="shared" si="10"/>
        <v>9100</v>
      </c>
      <c r="R47" s="429">
        <f t="shared" si="11"/>
        <v>1800</v>
      </c>
      <c r="S47" s="429">
        <f t="shared" si="12"/>
        <v>5200</v>
      </c>
      <c r="T47" s="429"/>
      <c r="U47" s="430"/>
    </row>
    <row r="48" spans="1:21" ht="15.75" thickBot="1">
      <c r="H48">
        <v>15</v>
      </c>
      <c r="I48" s="431" t="s">
        <v>812</v>
      </c>
      <c r="J48" s="432" t="s">
        <v>798</v>
      </c>
      <c r="K48" s="518">
        <v>200</v>
      </c>
      <c r="L48" s="507">
        <v>1400</v>
      </c>
      <c r="M48" s="507">
        <v>800</v>
      </c>
      <c r="N48" s="507">
        <v>800</v>
      </c>
      <c r="O48" s="507"/>
      <c r="P48" s="507"/>
      <c r="Q48" s="495">
        <f t="shared" si="10"/>
        <v>9100</v>
      </c>
      <c r="R48" s="433">
        <f t="shared" si="11"/>
        <v>1800</v>
      </c>
      <c r="S48" s="433">
        <f t="shared" si="12"/>
        <v>5200</v>
      </c>
      <c r="T48" s="433"/>
      <c r="U48" s="434"/>
    </row>
  </sheetData>
  <mergeCells count="10">
    <mergeCell ref="Q2:U2"/>
    <mergeCell ref="A4:A6"/>
    <mergeCell ref="A7:A9"/>
    <mergeCell ref="A10:A16"/>
    <mergeCell ref="A17:A23"/>
    <mergeCell ref="A24:A25"/>
    <mergeCell ref="A37:A39"/>
    <mergeCell ref="A41:A43"/>
    <mergeCell ref="L2:P2"/>
    <mergeCell ref="A26:A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Hauptrunde</vt:lpstr>
      <vt:lpstr>Monsterfeldrechner</vt:lpstr>
      <vt:lpstr>Forschungskosten</vt:lpstr>
      <vt:lpstr>Daily</vt:lpstr>
      <vt:lpstr>Baukosten</vt:lpstr>
      <vt:lpstr>Gebäudebauzeit</vt:lpstr>
      <vt:lpstr>Levelrechner</vt:lpstr>
      <vt:lpstr>DamageCalc</vt:lpstr>
      <vt:lpstr>Einheitenwerte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Andre Kaltwasser</cp:lastModifiedBy>
  <dcterms:created xsi:type="dcterms:W3CDTF">2016-01-30T23:41:03Z</dcterms:created>
  <dcterms:modified xsi:type="dcterms:W3CDTF">2025-01-06T00:55:52Z</dcterms:modified>
</cp:coreProperties>
</file>