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360" yWindow="90" windowWidth="11655" windowHeight="7935" tabRatio="891"/>
  </bookViews>
  <sheets>
    <sheet name="Hauptrunde" sheetId="1" r:id="rId1"/>
    <sheet name="Monsterfeldrechner" sheetId="13" r:id="rId2"/>
    <sheet name="Forschungskosten" sheetId="44" r:id="rId3"/>
    <sheet name="Daily" sheetId="31" r:id="rId4"/>
    <sheet name="Baukosten" sheetId="34" r:id="rId5"/>
    <sheet name="Gebäudebauzeit" sheetId="38" r:id="rId6"/>
    <sheet name="Levelrechner" sheetId="39" r:id="rId7"/>
    <sheet name="DamageCalc" sheetId="48" r:id="rId8"/>
    <sheet name="Einheitenwerte" sheetId="52" r:id="rId9"/>
    <sheet name="Start" sheetId="53" r:id="rId10"/>
    <sheet name="Eiersuche" sheetId="7" r:id="rId11"/>
  </sheets>
  <calcPr calcId="124519"/>
</workbook>
</file>

<file path=xl/calcChain.xml><?xml version="1.0" encoding="utf-8"?>
<calcChain xmlns="http://schemas.openxmlformats.org/spreadsheetml/2006/main">
  <c r="L28" i="48"/>
  <c r="M28"/>
  <c r="N28"/>
  <c r="O28"/>
  <c r="P28"/>
  <c r="Q28"/>
  <c r="R28"/>
  <c r="S28"/>
  <c r="T28"/>
  <c r="U28"/>
  <c r="V28"/>
  <c r="E22"/>
  <c r="E21"/>
  <c r="E20"/>
  <c r="E19"/>
  <c r="E18"/>
  <c r="U11" i="52"/>
  <c r="S11"/>
  <c r="Q11"/>
  <c r="U12"/>
  <c r="F27"/>
  <c r="F26"/>
  <c r="F113" i="48"/>
  <c r="D113"/>
  <c r="F112"/>
  <c r="D112"/>
  <c r="F111"/>
  <c r="D111"/>
  <c r="F110"/>
  <c r="D110"/>
  <c r="F109"/>
  <c r="D109"/>
  <c r="F108"/>
  <c r="D108"/>
  <c r="F107"/>
  <c r="D107"/>
  <c r="F106"/>
  <c r="D106"/>
  <c r="E106" s="1"/>
  <c r="F105"/>
  <c r="D105"/>
  <c r="F104"/>
  <c r="D104"/>
  <c r="F103"/>
  <c r="D103"/>
  <c r="F102"/>
  <c r="D102"/>
  <c r="F101"/>
  <c r="D101"/>
  <c r="F100"/>
  <c r="D100"/>
  <c r="F99"/>
  <c r="D99"/>
  <c r="F98"/>
  <c r="D98"/>
  <c r="F97"/>
  <c r="D97"/>
  <c r="F96"/>
  <c r="D96"/>
  <c r="F88"/>
  <c r="F85"/>
  <c r="F86"/>
  <c r="F87"/>
  <c r="F84"/>
  <c r="F83"/>
  <c r="F82"/>
  <c r="F79"/>
  <c r="F80"/>
  <c r="F81"/>
  <c r="F78"/>
  <c r="F77"/>
  <c r="F76"/>
  <c r="F73"/>
  <c r="F74"/>
  <c r="F75"/>
  <c r="F72"/>
  <c r="F71"/>
  <c r="D88"/>
  <c r="D85"/>
  <c r="D86"/>
  <c r="D87"/>
  <c r="D84"/>
  <c r="D83"/>
  <c r="D82"/>
  <c r="D79"/>
  <c r="D80"/>
  <c r="D81"/>
  <c r="D78"/>
  <c r="D77"/>
  <c r="D76"/>
  <c r="D73"/>
  <c r="D74"/>
  <c r="D75"/>
  <c r="D72"/>
  <c r="D71"/>
  <c r="W60" i="44"/>
  <c r="V60"/>
  <c r="U60"/>
  <c r="S60"/>
  <c r="R60"/>
  <c r="Q60"/>
  <c r="P60"/>
  <c r="O60"/>
  <c r="I60"/>
  <c r="W59"/>
  <c r="V59"/>
  <c r="U59"/>
  <c r="S59"/>
  <c r="R59"/>
  <c r="Q59"/>
  <c r="P59"/>
  <c r="O59"/>
  <c r="I59"/>
  <c r="W58"/>
  <c r="V58"/>
  <c r="U58"/>
  <c r="S58"/>
  <c r="R58"/>
  <c r="Q58"/>
  <c r="P58"/>
  <c r="O58"/>
  <c r="I58"/>
  <c r="E108" i="48" l="1"/>
  <c r="E100"/>
  <c r="E98"/>
  <c r="E99"/>
  <c r="E102"/>
  <c r="E113"/>
  <c r="E104"/>
  <c r="E110"/>
  <c r="E97"/>
  <c r="E112"/>
  <c r="E96"/>
  <c r="E109"/>
  <c r="E103"/>
  <c r="E101"/>
  <c r="E107"/>
  <c r="E105"/>
  <c r="E111"/>
  <c r="W7" i="44" l="1"/>
  <c r="W43"/>
  <c r="W39"/>
  <c r="W38"/>
  <c r="W32"/>
  <c r="W28"/>
  <c r="W27"/>
  <c r="W22"/>
  <c r="W18"/>
  <c r="W17"/>
  <c r="W79"/>
  <c r="W78"/>
  <c r="W77"/>
  <c r="W75"/>
  <c r="W73"/>
  <c r="W72"/>
  <c r="W70"/>
  <c r="W69"/>
  <c r="W68"/>
  <c r="W62"/>
  <c r="W61"/>
  <c r="W55"/>
  <c r="W51"/>
  <c r="W52"/>
  <c r="W50"/>
  <c r="W117"/>
  <c r="W118"/>
  <c r="W119"/>
  <c r="W120"/>
  <c r="W121"/>
  <c r="W122"/>
  <c r="W116"/>
  <c r="W115"/>
  <c r="W114"/>
  <c r="W113"/>
  <c r="W111"/>
  <c r="W112"/>
  <c r="W110"/>
  <c r="W107"/>
  <c r="W108"/>
  <c r="W109"/>
  <c r="W106"/>
  <c r="W105"/>
  <c r="W104"/>
  <c r="W103"/>
  <c r="W102"/>
  <c r="W101"/>
  <c r="W100"/>
  <c r="W99"/>
  <c r="W98"/>
  <c r="W85"/>
  <c r="W86"/>
  <c r="W87"/>
  <c r="W88"/>
  <c r="W89"/>
  <c r="W90"/>
  <c r="W91"/>
  <c r="W92"/>
  <c r="W93"/>
  <c r="W94"/>
  <c r="W95"/>
  <c r="W96"/>
  <c r="W97"/>
  <c r="W84"/>
  <c r="W54"/>
  <c r="W56"/>
  <c r="W57"/>
  <c r="W63"/>
  <c r="W64"/>
  <c r="W65"/>
  <c r="W66"/>
  <c r="W67"/>
  <c r="W71"/>
  <c r="W74"/>
  <c r="W76"/>
  <c r="W80"/>
  <c r="W81"/>
  <c r="W53"/>
  <c r="W19"/>
  <c r="W20"/>
  <c r="W21"/>
  <c r="W23"/>
  <c r="W24"/>
  <c r="W25"/>
  <c r="W26"/>
  <c r="W29"/>
  <c r="W30"/>
  <c r="W31"/>
  <c r="W33"/>
  <c r="W34"/>
  <c r="W35"/>
  <c r="W36"/>
  <c r="W37"/>
  <c r="W40"/>
  <c r="W41"/>
  <c r="W42"/>
  <c r="W44"/>
  <c r="W45"/>
  <c r="W46"/>
  <c r="W47"/>
  <c r="W9"/>
  <c r="W10"/>
  <c r="W11"/>
  <c r="W12"/>
  <c r="W13"/>
  <c r="W14"/>
  <c r="W8"/>
  <c r="K32" i="52"/>
  <c r="K31"/>
  <c r="K30"/>
  <c r="K29"/>
  <c r="K28"/>
  <c r="F43"/>
  <c r="F41"/>
  <c r="F39"/>
  <c r="F38"/>
  <c r="F37"/>
  <c r="F35"/>
  <c r="R39" s="1"/>
  <c r="F34"/>
  <c r="T34" s="1"/>
  <c r="F33"/>
  <c r="F32"/>
  <c r="F31"/>
  <c r="F30"/>
  <c r="F29"/>
  <c r="S15" s="1"/>
  <c r="F28"/>
  <c r="F25"/>
  <c r="S13" s="1"/>
  <c r="F24"/>
  <c r="U13" s="1"/>
  <c r="F23"/>
  <c r="R11" s="1"/>
  <c r="U23"/>
  <c r="T23"/>
  <c r="F22"/>
  <c r="S12" s="1"/>
  <c r="F21"/>
  <c r="Q12" s="1"/>
  <c r="U21"/>
  <c r="F20"/>
  <c r="F19"/>
  <c r="T5" s="1"/>
  <c r="F18"/>
  <c r="U18"/>
  <c r="F17"/>
  <c r="F16"/>
  <c r="U16"/>
  <c r="F15"/>
  <c r="R15"/>
  <c r="Q15"/>
  <c r="F14"/>
  <c r="R14"/>
  <c r="Q14"/>
  <c r="F13"/>
  <c r="R13"/>
  <c r="Q13"/>
  <c r="F12"/>
  <c r="F11"/>
  <c r="U10"/>
  <c r="F10"/>
  <c r="T18" s="1"/>
  <c r="U9"/>
  <c r="F9"/>
  <c r="U8"/>
  <c r="F8"/>
  <c r="U7"/>
  <c r="F7"/>
  <c r="U6"/>
  <c r="F6"/>
  <c r="U5"/>
  <c r="F5"/>
  <c r="U4"/>
  <c r="F4"/>
  <c r="L19" i="34"/>
  <c r="J19"/>
  <c r="F19"/>
  <c r="L13"/>
  <c r="J13"/>
  <c r="L14"/>
  <c r="L8"/>
  <c r="L9"/>
  <c r="L15"/>
  <c r="L10"/>
  <c r="L12"/>
  <c r="L11"/>
  <c r="L16"/>
  <c r="L17"/>
  <c r="L18"/>
  <c r="L7"/>
  <c r="J14"/>
  <c r="J8"/>
  <c r="J9"/>
  <c r="J15"/>
  <c r="J10"/>
  <c r="J12"/>
  <c r="J11"/>
  <c r="J16"/>
  <c r="J17"/>
  <c r="J18"/>
  <c r="J7"/>
  <c r="H14"/>
  <c r="H8"/>
  <c r="H9"/>
  <c r="H15"/>
  <c r="H10"/>
  <c r="H12"/>
  <c r="H13" s="1"/>
  <c r="H11"/>
  <c r="H16"/>
  <c r="H17"/>
  <c r="H18"/>
  <c r="H7"/>
  <c r="F14"/>
  <c r="F8"/>
  <c r="F9"/>
  <c r="F15"/>
  <c r="F10"/>
  <c r="F12"/>
  <c r="F13" s="1"/>
  <c r="F11"/>
  <c r="F16"/>
  <c r="F17"/>
  <c r="F18"/>
  <c r="F7"/>
  <c r="D8"/>
  <c r="D9"/>
  <c r="D15"/>
  <c r="D10"/>
  <c r="D12"/>
  <c r="D13" s="1"/>
  <c r="D11"/>
  <c r="D16"/>
  <c r="D17"/>
  <c r="D18"/>
  <c r="D14"/>
  <c r="D7"/>
  <c r="H10" i="31"/>
  <c r="F13"/>
  <c r="G12"/>
  <c r="D11"/>
  <c r="H9"/>
  <c r="G9"/>
  <c r="F9"/>
  <c r="E9"/>
  <c r="D9"/>
  <c r="E7"/>
  <c r="R12" i="52" l="1"/>
  <c r="Q26"/>
  <c r="Q17"/>
  <c r="R22"/>
  <c r="R40"/>
  <c r="S46"/>
  <c r="R46"/>
  <c r="W123" i="44"/>
  <c r="W82"/>
  <c r="W48"/>
  <c r="W15"/>
  <c r="S47" i="52"/>
  <c r="D19" i="34"/>
  <c r="H19"/>
  <c r="S48" i="52"/>
  <c r="Q48"/>
  <c r="Q46"/>
  <c r="Q47"/>
  <c r="R49"/>
  <c r="R48"/>
  <c r="R45"/>
  <c r="R47"/>
  <c r="R42"/>
  <c r="R41"/>
  <c r="R38"/>
  <c r="S26"/>
  <c r="R26"/>
  <c r="Q9"/>
  <c r="Q42"/>
  <c r="R37"/>
  <c r="S42"/>
  <c r="R36"/>
  <c r="S22"/>
  <c r="U14"/>
  <c r="R29"/>
  <c r="Q5"/>
  <c r="Q19"/>
  <c r="T10"/>
  <c r="R9"/>
  <c r="R19"/>
  <c r="R7"/>
  <c r="S17"/>
  <c r="Q29"/>
  <c r="R10"/>
  <c r="R5"/>
  <c r="S27"/>
  <c r="S10"/>
  <c r="R21"/>
  <c r="S4"/>
  <c r="Q21"/>
  <c r="Q25"/>
  <c r="R35"/>
  <c r="S25"/>
  <c r="R8"/>
  <c r="R25"/>
  <c r="Q8"/>
  <c r="Q22"/>
  <c r="S19"/>
  <c r="R4"/>
  <c r="S7"/>
  <c r="Q18"/>
  <c r="S24"/>
  <c r="R34"/>
  <c r="S40"/>
  <c r="S38"/>
  <c r="S41"/>
  <c r="Q33"/>
  <c r="Q35"/>
  <c r="S36"/>
  <c r="S14"/>
  <c r="S35"/>
  <c r="S49"/>
  <c r="Q41"/>
  <c r="Q49"/>
  <c r="T38"/>
  <c r="R18"/>
  <c r="Q28"/>
  <c r="Q32"/>
  <c r="T45"/>
  <c r="S21"/>
  <c r="Q36"/>
  <c r="S45"/>
  <c r="Q38"/>
  <c r="S28"/>
  <c r="S18"/>
  <c r="R24"/>
  <c r="R31"/>
  <c r="Q45"/>
  <c r="S43"/>
  <c r="R32"/>
  <c r="Q4"/>
  <c r="Q10"/>
  <c r="Q24"/>
  <c r="Q31"/>
  <c r="S6"/>
  <c r="R20"/>
  <c r="S30"/>
  <c r="S34"/>
  <c r="Q40"/>
  <c r="R43"/>
  <c r="R28"/>
  <c r="Q43"/>
  <c r="S31"/>
  <c r="S20"/>
  <c r="Q27"/>
  <c r="Q6"/>
  <c r="S23"/>
  <c r="Q30"/>
  <c r="Q34"/>
  <c r="S39"/>
  <c r="S44"/>
  <c r="R44"/>
  <c r="Q44"/>
  <c r="Q37"/>
  <c r="R33"/>
  <c r="S32"/>
  <c r="Q7"/>
  <c r="R17"/>
  <c r="R27"/>
  <c r="R6"/>
  <c r="S9"/>
  <c r="Q20"/>
  <c r="R30"/>
  <c r="S16"/>
  <c r="R16"/>
  <c r="R23"/>
  <c r="Q16"/>
  <c r="Q23"/>
  <c r="S29"/>
  <c r="S33"/>
  <c r="Q39"/>
  <c r="S5"/>
  <c r="S8"/>
  <c r="U15"/>
  <c r="S37"/>
  <c r="J40" i="48"/>
  <c r="J44" s="1"/>
  <c r="J51" s="1"/>
  <c r="J58" s="1"/>
  <c r="L40"/>
  <c r="L44" s="1"/>
  <c r="L51" s="1"/>
  <c r="L58" s="1"/>
  <c r="N40"/>
  <c r="N47" s="1"/>
  <c r="P40"/>
  <c r="P47" s="1"/>
  <c r="R40"/>
  <c r="R47" s="1"/>
  <c r="T40"/>
  <c r="T47" s="1"/>
  <c r="V40"/>
  <c r="V47" s="1"/>
  <c r="X40"/>
  <c r="X44" s="1"/>
  <c r="X51" s="1"/>
  <c r="X58" s="1"/>
  <c r="Z40"/>
  <c r="Z42" s="1"/>
  <c r="Z49" s="1"/>
  <c r="Z56" s="1"/>
  <c r="AB40"/>
  <c r="AB47" s="1"/>
  <c r="AD40"/>
  <c r="AD41" s="1"/>
  <c r="AD48" s="1"/>
  <c r="AD55" s="1"/>
  <c r="AF40"/>
  <c r="AF41" s="1"/>
  <c r="AF48" s="1"/>
  <c r="AF55" s="1"/>
  <c r="AH40"/>
  <c r="AH41" s="1"/>
  <c r="AH48" s="1"/>
  <c r="AH55" s="1"/>
  <c r="AJ40"/>
  <c r="AJ43" s="1"/>
  <c r="AJ50" s="1"/>
  <c r="AJ57" s="1"/>
  <c r="AL40"/>
  <c r="AL43" s="1"/>
  <c r="AL50" s="1"/>
  <c r="AL57" s="1"/>
  <c r="AN40"/>
  <c r="AN43" s="1"/>
  <c r="AN50" s="1"/>
  <c r="AN57" s="1"/>
  <c r="AP40"/>
  <c r="AP47" s="1"/>
  <c r="AR40"/>
  <c r="AR47" s="1"/>
  <c r="AT40"/>
  <c r="AT47" s="1"/>
  <c r="AV40"/>
  <c r="AV47" s="1"/>
  <c r="AX40"/>
  <c r="AX47" s="1"/>
  <c r="AZ40"/>
  <c r="AZ47" s="1"/>
  <c r="BB40"/>
  <c r="BB47" s="1"/>
  <c r="BD40"/>
  <c r="BD44" s="1"/>
  <c r="BD51" s="1"/>
  <c r="BD58" s="1"/>
  <c r="BF40"/>
  <c r="BF42" s="1"/>
  <c r="BF49" s="1"/>
  <c r="BF56" s="1"/>
  <c r="BH40"/>
  <c r="BH47" s="1"/>
  <c r="BJ40"/>
  <c r="BJ42" s="1"/>
  <c r="BJ49" s="1"/>
  <c r="BJ56" s="1"/>
  <c r="BL40"/>
  <c r="BL42" s="1"/>
  <c r="BL49" s="1"/>
  <c r="BL56" s="1"/>
  <c r="BN40"/>
  <c r="BN42" s="1"/>
  <c r="BN49" s="1"/>
  <c r="BN56" s="1"/>
  <c r="BP40"/>
  <c r="BP47" s="1"/>
  <c r="BR40"/>
  <c r="BR43" s="1"/>
  <c r="BR50" s="1"/>
  <c r="BR57" s="1"/>
  <c r="BT40"/>
  <c r="BT47" s="1"/>
  <c r="BV40"/>
  <c r="BV43" s="1"/>
  <c r="BV50" s="1"/>
  <c r="BV57" s="1"/>
  <c r="BX40"/>
  <c r="BX41" s="1"/>
  <c r="BX48" s="1"/>
  <c r="BX55" s="1"/>
  <c r="BZ40"/>
  <c r="BZ47" s="1"/>
  <c r="CB40"/>
  <c r="CB47" s="1"/>
  <c r="CD40"/>
  <c r="CD47" s="1"/>
  <c r="CF40"/>
  <c r="CF47" s="1"/>
  <c r="CH40"/>
  <c r="CH47" s="1"/>
  <c r="CJ40"/>
  <c r="CJ47" s="1"/>
  <c r="CL40"/>
  <c r="CL47" s="1"/>
  <c r="CN40"/>
  <c r="CN47" s="1"/>
  <c r="CP40"/>
  <c r="CP41" s="1"/>
  <c r="CP48" s="1"/>
  <c r="CP55" s="1"/>
  <c r="CR40"/>
  <c r="CR41" s="1"/>
  <c r="CR48" s="1"/>
  <c r="CR55" s="1"/>
  <c r="H40"/>
  <c r="H47" s="1"/>
  <c r="BN41"/>
  <c r="BN48" s="1"/>
  <c r="BN55" s="1"/>
  <c r="N42"/>
  <c r="N49" s="1"/>
  <c r="N56" s="1"/>
  <c r="BZ42"/>
  <c r="BZ49" s="1"/>
  <c r="BZ56" s="1"/>
  <c r="J43"/>
  <c r="J50" s="1"/>
  <c r="J57" s="1"/>
  <c r="L43"/>
  <c r="L50" s="1"/>
  <c r="L57" s="1"/>
  <c r="N43"/>
  <c r="N50" s="1"/>
  <c r="N57" s="1"/>
  <c r="N44"/>
  <c r="N51" s="1"/>
  <c r="N58" s="1"/>
  <c r="AF44"/>
  <c r="AF51" s="1"/>
  <c r="AF58" s="1"/>
  <c r="AT44"/>
  <c r="AT51" s="1"/>
  <c r="AT58" s="1"/>
  <c r="BZ44"/>
  <c r="BZ51" s="1"/>
  <c r="BZ58" s="1"/>
  <c r="CF44"/>
  <c r="CF51" s="1"/>
  <c r="CF58" s="1"/>
  <c r="CN44"/>
  <c r="CN51" s="1"/>
  <c r="CN58" s="1"/>
  <c r="CI88"/>
  <c r="CI113" s="1"/>
  <c r="Z88"/>
  <c r="Z113" s="1"/>
  <c r="CI87"/>
  <c r="CI112" s="1"/>
  <c r="AL87"/>
  <c r="AL112" s="1"/>
  <c r="CK86"/>
  <c r="CK111" s="1"/>
  <c r="CF86"/>
  <c r="CF111" s="1"/>
  <c r="CC85"/>
  <c r="CC110" s="1"/>
  <c r="CF85"/>
  <c r="CF110" s="1"/>
  <c r="CM84"/>
  <c r="CM109" s="1"/>
  <c r="BD84"/>
  <c r="BD109" s="1"/>
  <c r="CM83"/>
  <c r="CM108" s="1"/>
  <c r="BD83"/>
  <c r="BD108" s="1"/>
  <c r="BO82"/>
  <c r="BO107" s="1"/>
  <c r="L82"/>
  <c r="L107" s="1"/>
  <c r="BO81"/>
  <c r="BO106" s="1"/>
  <c r="AD81"/>
  <c r="AD106" s="1"/>
  <c r="AS80"/>
  <c r="AS105" s="1"/>
  <c r="AJ80"/>
  <c r="AJ105" s="1"/>
  <c r="BY79"/>
  <c r="BY104" s="1"/>
  <c r="T79"/>
  <c r="T104" s="1"/>
  <c r="CA78"/>
  <c r="CA103" s="1"/>
  <c r="CN78"/>
  <c r="CN103" s="1"/>
  <c r="CA77"/>
  <c r="CA102" s="1"/>
  <c r="CH77"/>
  <c r="CH102" s="1"/>
  <c r="CC76"/>
  <c r="CC101" s="1"/>
  <c r="CP76"/>
  <c r="CP101" s="1"/>
  <c r="CC75"/>
  <c r="CC100" s="1"/>
  <c r="V75"/>
  <c r="V100" s="1"/>
  <c r="CE74"/>
  <c r="CE99" s="1"/>
  <c r="N74"/>
  <c r="N99" s="1"/>
  <c r="CE73"/>
  <c r="CE98" s="1"/>
  <c r="AB73"/>
  <c r="AB98" s="1"/>
  <c r="CI72"/>
  <c r="CI97" s="1"/>
  <c r="Z72"/>
  <c r="Z97" s="1"/>
  <c r="CI71"/>
  <c r="CI96" s="1"/>
  <c r="Z71"/>
  <c r="Z96" s="1"/>
  <c r="G19"/>
  <c r="E20" i="1"/>
  <c r="I81" s="1"/>
  <c r="L17" i="13"/>
  <c r="M17"/>
  <c r="N17"/>
  <c r="O17"/>
  <c r="O18"/>
  <c r="L18"/>
  <c r="M18"/>
  <c r="N18"/>
  <c r="O19"/>
  <c r="L19"/>
  <c r="M19"/>
  <c r="N19"/>
  <c r="O20"/>
  <c r="L20"/>
  <c r="M20"/>
  <c r="N20"/>
  <c r="O21"/>
  <c r="L21"/>
  <c r="M21"/>
  <c r="N21"/>
  <c r="O22"/>
  <c r="L22"/>
  <c r="M22"/>
  <c r="N22"/>
  <c r="L23"/>
  <c r="M23"/>
  <c r="N23"/>
  <c r="O23"/>
  <c r="O24"/>
  <c r="L24"/>
  <c r="M24"/>
  <c r="N24"/>
  <c r="O25"/>
  <c r="L25"/>
  <c r="M25"/>
  <c r="N25"/>
  <c r="O26"/>
  <c r="L26"/>
  <c r="M26"/>
  <c r="N26"/>
  <c r="O27"/>
  <c r="L27"/>
  <c r="M27"/>
  <c r="N27"/>
  <c r="O28"/>
  <c r="L28"/>
  <c r="M28"/>
  <c r="N28"/>
  <c r="O29"/>
  <c r="L29"/>
  <c r="M29"/>
  <c r="N29"/>
  <c r="O30"/>
  <c r="L30"/>
  <c r="M30"/>
  <c r="N30"/>
  <c r="O31"/>
  <c r="L31"/>
  <c r="M31"/>
  <c r="N31"/>
  <c r="O39" i="44"/>
  <c r="P39"/>
  <c r="Q39"/>
  <c r="R39"/>
  <c r="S39"/>
  <c r="V115"/>
  <c r="U115"/>
  <c r="V112"/>
  <c r="U112"/>
  <c r="V111"/>
  <c r="U111"/>
  <c r="V110"/>
  <c r="U110"/>
  <c r="V105"/>
  <c r="U105"/>
  <c r="V103"/>
  <c r="U103"/>
  <c r="U104"/>
  <c r="V104"/>
  <c r="V101"/>
  <c r="U101"/>
  <c r="V100"/>
  <c r="U100"/>
  <c r="U85"/>
  <c r="V85"/>
  <c r="U86"/>
  <c r="V86"/>
  <c r="U87"/>
  <c r="V87"/>
  <c r="U88"/>
  <c r="V88"/>
  <c r="U89"/>
  <c r="V89"/>
  <c r="U90"/>
  <c r="V90"/>
  <c r="U91"/>
  <c r="V91"/>
  <c r="U92"/>
  <c r="V92"/>
  <c r="U93"/>
  <c r="V93"/>
  <c r="U94"/>
  <c r="V94"/>
  <c r="U95"/>
  <c r="V95"/>
  <c r="U96"/>
  <c r="V96"/>
  <c r="U97"/>
  <c r="V97"/>
  <c r="V84"/>
  <c r="U84"/>
  <c r="V79"/>
  <c r="U79"/>
  <c r="V78"/>
  <c r="U78"/>
  <c r="V77"/>
  <c r="U77"/>
  <c r="V75"/>
  <c r="U75"/>
  <c r="V72"/>
  <c r="U72"/>
  <c r="V32"/>
  <c r="U32"/>
  <c r="V28"/>
  <c r="U28"/>
  <c r="V27"/>
  <c r="U27"/>
  <c r="V22"/>
  <c r="U22"/>
  <c r="V18"/>
  <c r="U18"/>
  <c r="V17"/>
  <c r="U17"/>
  <c r="V7"/>
  <c r="U7"/>
  <c r="V50"/>
  <c r="U50"/>
  <c r="V38"/>
  <c r="U38"/>
  <c r="V39"/>
  <c r="U39"/>
  <c r="V43"/>
  <c r="U43"/>
  <c r="V62"/>
  <c r="U62"/>
  <c r="V70"/>
  <c r="U70"/>
  <c r="V69"/>
  <c r="U69"/>
  <c r="V68"/>
  <c r="U68"/>
  <c r="V61"/>
  <c r="U61"/>
  <c r="V55"/>
  <c r="U55"/>
  <c r="V52"/>
  <c r="V51"/>
  <c r="U52"/>
  <c r="U51"/>
  <c r="U8"/>
  <c r="V8"/>
  <c r="U9"/>
  <c r="V9"/>
  <c r="U10"/>
  <c r="V10"/>
  <c r="U11"/>
  <c r="V11"/>
  <c r="U12"/>
  <c r="V12"/>
  <c r="U13"/>
  <c r="V13"/>
  <c r="U14"/>
  <c r="V14"/>
  <c r="U19"/>
  <c r="V19"/>
  <c r="U20"/>
  <c r="V20"/>
  <c r="U21"/>
  <c r="V21"/>
  <c r="U23"/>
  <c r="V23"/>
  <c r="U24"/>
  <c r="V24"/>
  <c r="U25"/>
  <c r="V25"/>
  <c r="U26"/>
  <c r="V26"/>
  <c r="U29"/>
  <c r="V29"/>
  <c r="U30"/>
  <c r="V30"/>
  <c r="U31"/>
  <c r="V31"/>
  <c r="U33"/>
  <c r="V33"/>
  <c r="U34"/>
  <c r="V34"/>
  <c r="U35"/>
  <c r="V35"/>
  <c r="U36"/>
  <c r="V36"/>
  <c r="U37"/>
  <c r="V37"/>
  <c r="U40"/>
  <c r="V40"/>
  <c r="U41"/>
  <c r="V41"/>
  <c r="U42"/>
  <c r="V42"/>
  <c r="U44"/>
  <c r="V44"/>
  <c r="U45"/>
  <c r="V45"/>
  <c r="U46"/>
  <c r="V46"/>
  <c r="U47"/>
  <c r="V47"/>
  <c r="U53"/>
  <c r="V53"/>
  <c r="U54"/>
  <c r="V54"/>
  <c r="U56"/>
  <c r="V56"/>
  <c r="U57"/>
  <c r="V57"/>
  <c r="U63"/>
  <c r="V63"/>
  <c r="U64"/>
  <c r="V64"/>
  <c r="U65"/>
  <c r="V65"/>
  <c r="U66"/>
  <c r="V66"/>
  <c r="U67"/>
  <c r="V67"/>
  <c r="U71"/>
  <c r="V71"/>
  <c r="U73"/>
  <c r="V73"/>
  <c r="U74"/>
  <c r="V74"/>
  <c r="U76"/>
  <c r="V76"/>
  <c r="U80"/>
  <c r="V80"/>
  <c r="U81"/>
  <c r="V81"/>
  <c r="U98"/>
  <c r="V98"/>
  <c r="U99"/>
  <c r="V99"/>
  <c r="U102"/>
  <c r="V102"/>
  <c r="U106"/>
  <c r="V106"/>
  <c r="U107"/>
  <c r="V107"/>
  <c r="U108"/>
  <c r="V108"/>
  <c r="U109"/>
  <c r="V109"/>
  <c r="U113"/>
  <c r="V113"/>
  <c r="U114"/>
  <c r="V114"/>
  <c r="U116"/>
  <c r="V116"/>
  <c r="U117"/>
  <c r="V117"/>
  <c r="U118"/>
  <c r="V118"/>
  <c r="U119"/>
  <c r="V119"/>
  <c r="U120"/>
  <c r="V120"/>
  <c r="U121"/>
  <c r="V121"/>
  <c r="U122"/>
  <c r="V122"/>
  <c r="I35" i="1"/>
  <c r="I75"/>
  <c r="I74"/>
  <c r="I73"/>
  <c r="I72"/>
  <c r="I71"/>
  <c r="AB30"/>
  <c r="Z38" s="1"/>
  <c r="F112"/>
  <c r="F113"/>
  <c r="F111"/>
  <c r="F110"/>
  <c r="F109"/>
  <c r="F104"/>
  <c r="F103"/>
  <c r="F102"/>
  <c r="F101"/>
  <c r="F100"/>
  <c r="H95"/>
  <c r="E75"/>
  <c r="D75"/>
  <c r="C75"/>
  <c r="E74"/>
  <c r="D74"/>
  <c r="C74"/>
  <c r="E73"/>
  <c r="D73"/>
  <c r="C73"/>
  <c r="E72"/>
  <c r="D72"/>
  <c r="C72"/>
  <c r="E71"/>
  <c r="D71"/>
  <c r="C71"/>
  <c r="E31"/>
  <c r="E32"/>
  <c r="E33"/>
  <c r="E34"/>
  <c r="E35"/>
  <c r="E39"/>
  <c r="E40"/>
  <c r="E41"/>
  <c r="E42"/>
  <c r="E43"/>
  <c r="E47"/>
  <c r="E48"/>
  <c r="E49"/>
  <c r="E50"/>
  <c r="E51"/>
  <c r="E55"/>
  <c r="E56"/>
  <c r="E57"/>
  <c r="E58"/>
  <c r="E59"/>
  <c r="E63"/>
  <c r="E64"/>
  <c r="E65"/>
  <c r="E66"/>
  <c r="E67"/>
  <c r="E79"/>
  <c r="E80"/>
  <c r="E81"/>
  <c r="E82"/>
  <c r="E83"/>
  <c r="O52" i="44"/>
  <c r="P52"/>
  <c r="Q52"/>
  <c r="R52"/>
  <c r="S52"/>
  <c r="O53"/>
  <c r="P53"/>
  <c r="Q53"/>
  <c r="R53"/>
  <c r="S53"/>
  <c r="O54"/>
  <c r="P54"/>
  <c r="Q54"/>
  <c r="R54"/>
  <c r="S54"/>
  <c r="O55"/>
  <c r="P55"/>
  <c r="Q55"/>
  <c r="R55"/>
  <c r="S55"/>
  <c r="O56"/>
  <c r="P56"/>
  <c r="Q56"/>
  <c r="R56"/>
  <c r="S56"/>
  <c r="O57"/>
  <c r="P57"/>
  <c r="Q57"/>
  <c r="R57"/>
  <c r="S57"/>
  <c r="O61"/>
  <c r="P61"/>
  <c r="Q61"/>
  <c r="R61"/>
  <c r="S61"/>
  <c r="I28"/>
  <c r="I12"/>
  <c r="I13"/>
  <c r="I14"/>
  <c r="I17"/>
  <c r="I18"/>
  <c r="I19"/>
  <c r="I20"/>
  <c r="I21"/>
  <c r="I22"/>
  <c r="I23"/>
  <c r="I24"/>
  <c r="I25"/>
  <c r="I26"/>
  <c r="I27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50"/>
  <c r="I51"/>
  <c r="I52"/>
  <c r="I53"/>
  <c r="I54"/>
  <c r="I55"/>
  <c r="I56"/>
  <c r="I57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7"/>
  <c r="I8"/>
  <c r="I9"/>
  <c r="I10"/>
  <c r="I11"/>
  <c r="S36"/>
  <c r="R36"/>
  <c r="Q36"/>
  <c r="P36"/>
  <c r="O36"/>
  <c r="O11"/>
  <c r="P11"/>
  <c r="Q11"/>
  <c r="R11"/>
  <c r="S11"/>
  <c r="S122"/>
  <c r="R122"/>
  <c r="Q122"/>
  <c r="P122"/>
  <c r="O122"/>
  <c r="S121"/>
  <c r="R121"/>
  <c r="Q121"/>
  <c r="P121"/>
  <c r="O121"/>
  <c r="S120"/>
  <c r="R120"/>
  <c r="Q120"/>
  <c r="P120"/>
  <c r="O120"/>
  <c r="S119"/>
  <c r="R119"/>
  <c r="Q119"/>
  <c r="P119"/>
  <c r="O119"/>
  <c r="S118"/>
  <c r="R118"/>
  <c r="Q118"/>
  <c r="P118"/>
  <c r="O118"/>
  <c r="S117"/>
  <c r="R117"/>
  <c r="Q117"/>
  <c r="P117"/>
  <c r="O117"/>
  <c r="S116"/>
  <c r="R116"/>
  <c r="Q116"/>
  <c r="P116"/>
  <c r="O116"/>
  <c r="S115"/>
  <c r="R115"/>
  <c r="Q115"/>
  <c r="P115"/>
  <c r="O115"/>
  <c r="S114"/>
  <c r="R114"/>
  <c r="Q114"/>
  <c r="P114"/>
  <c r="O114"/>
  <c r="S113"/>
  <c r="R113"/>
  <c r="Q113"/>
  <c r="P113"/>
  <c r="O113"/>
  <c r="S112"/>
  <c r="R112"/>
  <c r="Q112"/>
  <c r="P112"/>
  <c r="O112"/>
  <c r="S111"/>
  <c r="R111"/>
  <c r="Q111"/>
  <c r="P111"/>
  <c r="O111"/>
  <c r="S110"/>
  <c r="R110"/>
  <c r="Q110"/>
  <c r="P110"/>
  <c r="O110"/>
  <c r="S109"/>
  <c r="R109"/>
  <c r="Q109"/>
  <c r="P109"/>
  <c r="O109"/>
  <c r="S108"/>
  <c r="R108"/>
  <c r="Q108"/>
  <c r="P108"/>
  <c r="O108"/>
  <c r="S107"/>
  <c r="R107"/>
  <c r="Q107"/>
  <c r="P107"/>
  <c r="O107"/>
  <c r="S106"/>
  <c r="R106"/>
  <c r="Q106"/>
  <c r="P106"/>
  <c r="O106"/>
  <c r="S105"/>
  <c r="R105"/>
  <c r="Q105"/>
  <c r="P105"/>
  <c r="O105"/>
  <c r="S104"/>
  <c r="R104"/>
  <c r="Q104"/>
  <c r="P104"/>
  <c r="O104"/>
  <c r="S103"/>
  <c r="R103"/>
  <c r="Q103"/>
  <c r="P103"/>
  <c r="O103"/>
  <c r="S102"/>
  <c r="R102"/>
  <c r="Q102"/>
  <c r="P102"/>
  <c r="O102"/>
  <c r="S101"/>
  <c r="R101"/>
  <c r="Q101"/>
  <c r="P101"/>
  <c r="O101"/>
  <c r="S100"/>
  <c r="R100"/>
  <c r="Q100"/>
  <c r="P100"/>
  <c r="O100"/>
  <c r="S99"/>
  <c r="R99"/>
  <c r="Q99"/>
  <c r="P99"/>
  <c r="O99"/>
  <c r="S98"/>
  <c r="R98"/>
  <c r="Q98"/>
  <c r="P98"/>
  <c r="O98"/>
  <c r="S97"/>
  <c r="R97"/>
  <c r="Q97"/>
  <c r="P97"/>
  <c r="O97"/>
  <c r="S96"/>
  <c r="R96"/>
  <c r="Q96"/>
  <c r="P96"/>
  <c r="O96"/>
  <c r="S95"/>
  <c r="R95"/>
  <c r="Q95"/>
  <c r="P95"/>
  <c r="O95"/>
  <c r="S94"/>
  <c r="R94"/>
  <c r="Q94"/>
  <c r="P94"/>
  <c r="O94"/>
  <c r="S93"/>
  <c r="R93"/>
  <c r="Q93"/>
  <c r="P93"/>
  <c r="O93"/>
  <c r="S92"/>
  <c r="R92"/>
  <c r="Q92"/>
  <c r="P92"/>
  <c r="O92"/>
  <c r="S91"/>
  <c r="R91"/>
  <c r="Q91"/>
  <c r="P91"/>
  <c r="O91"/>
  <c r="S90"/>
  <c r="R90"/>
  <c r="Q90"/>
  <c r="P90"/>
  <c r="O90"/>
  <c r="S89"/>
  <c r="R89"/>
  <c r="Q89"/>
  <c r="P89"/>
  <c r="O89"/>
  <c r="S88"/>
  <c r="R88"/>
  <c r="Q88"/>
  <c r="P88"/>
  <c r="O88"/>
  <c r="S87"/>
  <c r="R87"/>
  <c r="Q87"/>
  <c r="P87"/>
  <c r="O87"/>
  <c r="S86"/>
  <c r="R86"/>
  <c r="Q86"/>
  <c r="P86"/>
  <c r="O86"/>
  <c r="S85"/>
  <c r="R85"/>
  <c r="Q85"/>
  <c r="P85"/>
  <c r="O85"/>
  <c r="S84"/>
  <c r="R84"/>
  <c r="Q84"/>
  <c r="P84"/>
  <c r="O84"/>
  <c r="S81"/>
  <c r="R81"/>
  <c r="Q81"/>
  <c r="P81"/>
  <c r="O81"/>
  <c r="S80"/>
  <c r="R80"/>
  <c r="Q80"/>
  <c r="P80"/>
  <c r="O80"/>
  <c r="S79"/>
  <c r="R79"/>
  <c r="Q79"/>
  <c r="P79"/>
  <c r="O79"/>
  <c r="S78"/>
  <c r="R78"/>
  <c r="Q78"/>
  <c r="P78"/>
  <c r="O78"/>
  <c r="S77"/>
  <c r="R77"/>
  <c r="Q77"/>
  <c r="P77"/>
  <c r="O77"/>
  <c r="S76"/>
  <c r="R76"/>
  <c r="Q76"/>
  <c r="P76"/>
  <c r="O76"/>
  <c r="S75"/>
  <c r="R75"/>
  <c r="Q75"/>
  <c r="P75"/>
  <c r="O75"/>
  <c r="S74"/>
  <c r="R74"/>
  <c r="Q74"/>
  <c r="P74"/>
  <c r="O74"/>
  <c r="S73"/>
  <c r="R73"/>
  <c r="Q73"/>
  <c r="P73"/>
  <c r="O73"/>
  <c r="S72"/>
  <c r="R72"/>
  <c r="Q72"/>
  <c r="P72"/>
  <c r="O72"/>
  <c r="S71"/>
  <c r="R71"/>
  <c r="Q71"/>
  <c r="P71"/>
  <c r="O71"/>
  <c r="S70"/>
  <c r="R70"/>
  <c r="Q70"/>
  <c r="P70"/>
  <c r="O70"/>
  <c r="S69"/>
  <c r="R69"/>
  <c r="Q69"/>
  <c r="P69"/>
  <c r="O69"/>
  <c r="S68"/>
  <c r="R68"/>
  <c r="Q68"/>
  <c r="P68"/>
  <c r="O68"/>
  <c r="S67"/>
  <c r="R67"/>
  <c r="Q67"/>
  <c r="P67"/>
  <c r="O67"/>
  <c r="S66"/>
  <c r="R66"/>
  <c r="Q66"/>
  <c r="P66"/>
  <c r="O66"/>
  <c r="S65"/>
  <c r="R65"/>
  <c r="Q65"/>
  <c r="P65"/>
  <c r="O65"/>
  <c r="S64"/>
  <c r="R64"/>
  <c r="Q64"/>
  <c r="P64"/>
  <c r="O64"/>
  <c r="S63"/>
  <c r="R63"/>
  <c r="Q63"/>
  <c r="P63"/>
  <c r="O63"/>
  <c r="S62"/>
  <c r="R62"/>
  <c r="Q62"/>
  <c r="P62"/>
  <c r="O62"/>
  <c r="S51"/>
  <c r="R51"/>
  <c r="Q51"/>
  <c r="P51"/>
  <c r="O51"/>
  <c r="S50"/>
  <c r="R50"/>
  <c r="Q50"/>
  <c r="P50"/>
  <c r="O50"/>
  <c r="S47"/>
  <c r="R47"/>
  <c r="Q47"/>
  <c r="P47"/>
  <c r="O47"/>
  <c r="S45"/>
  <c r="R45"/>
  <c r="Q45"/>
  <c r="P45"/>
  <c r="O45"/>
  <c r="S44"/>
  <c r="R44"/>
  <c r="Q44"/>
  <c r="P44"/>
  <c r="O44"/>
  <c r="S43"/>
  <c r="R43"/>
  <c r="Q43"/>
  <c r="P43"/>
  <c r="O43"/>
  <c r="S46"/>
  <c r="R46"/>
  <c r="Q46"/>
  <c r="P46"/>
  <c r="O46"/>
  <c r="S42"/>
  <c r="R42"/>
  <c r="Q42"/>
  <c r="P42"/>
  <c r="O42"/>
  <c r="S41"/>
  <c r="R41"/>
  <c r="Q41"/>
  <c r="P41"/>
  <c r="O41"/>
  <c r="S40"/>
  <c r="R40"/>
  <c r="Q40"/>
  <c r="P40"/>
  <c r="O40"/>
  <c r="S38"/>
  <c r="R38"/>
  <c r="Q38"/>
  <c r="P38"/>
  <c r="O38"/>
  <c r="S37"/>
  <c r="R37"/>
  <c r="Q37"/>
  <c r="P37"/>
  <c r="O37"/>
  <c r="S35"/>
  <c r="R35"/>
  <c r="Q35"/>
  <c r="P35"/>
  <c r="O35"/>
  <c r="S34"/>
  <c r="R34"/>
  <c r="Q34"/>
  <c r="P34"/>
  <c r="O34"/>
  <c r="S33"/>
  <c r="R33"/>
  <c r="Q33"/>
  <c r="P33"/>
  <c r="O33"/>
  <c r="S32"/>
  <c r="R32"/>
  <c r="Q32"/>
  <c r="P32"/>
  <c r="O32"/>
  <c r="S31"/>
  <c r="R31"/>
  <c r="Q31"/>
  <c r="P31"/>
  <c r="O31"/>
  <c r="S30"/>
  <c r="R30"/>
  <c r="Q30"/>
  <c r="P30"/>
  <c r="O30"/>
  <c r="S29"/>
  <c r="R29"/>
  <c r="Q29"/>
  <c r="P29"/>
  <c r="O29"/>
  <c r="S27"/>
  <c r="R27"/>
  <c r="Q27"/>
  <c r="P27"/>
  <c r="O27"/>
  <c r="S26"/>
  <c r="R26"/>
  <c r="Q26"/>
  <c r="P26"/>
  <c r="O26"/>
  <c r="S25"/>
  <c r="R25"/>
  <c r="Q25"/>
  <c r="P25"/>
  <c r="O25"/>
  <c r="S24"/>
  <c r="R24"/>
  <c r="Q24"/>
  <c r="P24"/>
  <c r="O24"/>
  <c r="S23"/>
  <c r="R23"/>
  <c r="Q23"/>
  <c r="P23"/>
  <c r="O23"/>
  <c r="S22"/>
  <c r="R22"/>
  <c r="Q22"/>
  <c r="P22"/>
  <c r="O22"/>
  <c r="S21"/>
  <c r="R21"/>
  <c r="Q21"/>
  <c r="P21"/>
  <c r="O21"/>
  <c r="S20"/>
  <c r="R20"/>
  <c r="Q20"/>
  <c r="P20"/>
  <c r="O20"/>
  <c r="S19"/>
  <c r="R19"/>
  <c r="Q19"/>
  <c r="P19"/>
  <c r="O19"/>
  <c r="S18"/>
  <c r="R18"/>
  <c r="Q18"/>
  <c r="P18"/>
  <c r="O18"/>
  <c r="S17"/>
  <c r="R17"/>
  <c r="Q17"/>
  <c r="P17"/>
  <c r="O17"/>
  <c r="S14"/>
  <c r="R14"/>
  <c r="Q14"/>
  <c r="P14"/>
  <c r="O14"/>
  <c r="S13"/>
  <c r="R13"/>
  <c r="Q13"/>
  <c r="P13"/>
  <c r="O13"/>
  <c r="S12"/>
  <c r="R12"/>
  <c r="Q12"/>
  <c r="P12"/>
  <c r="O12"/>
  <c r="S10"/>
  <c r="R10"/>
  <c r="Q10"/>
  <c r="P10"/>
  <c r="O10"/>
  <c r="S9"/>
  <c r="R9"/>
  <c r="Q9"/>
  <c r="P9"/>
  <c r="O9"/>
  <c r="S8"/>
  <c r="R8"/>
  <c r="Q8"/>
  <c r="P8"/>
  <c r="O8"/>
  <c r="S7"/>
  <c r="R7"/>
  <c r="Q7"/>
  <c r="P7"/>
  <c r="O7"/>
  <c r="U86" i="1"/>
  <c r="W86" s="1"/>
  <c r="U85"/>
  <c r="W85" s="1"/>
  <c r="I113"/>
  <c r="I112"/>
  <c r="I111"/>
  <c r="I110"/>
  <c r="I109"/>
  <c r="I104"/>
  <c r="I103"/>
  <c r="I102"/>
  <c r="I101"/>
  <c r="I100"/>
  <c r="E113"/>
  <c r="E112"/>
  <c r="E111"/>
  <c r="E110"/>
  <c r="E109"/>
  <c r="F32" i="39"/>
  <c r="F31"/>
  <c r="F30"/>
  <c r="F29"/>
  <c r="F28"/>
  <c r="F27"/>
  <c r="F26"/>
  <c r="F25"/>
  <c r="F24"/>
  <c r="F23"/>
  <c r="E32"/>
  <c r="E31"/>
  <c r="E30"/>
  <c r="E29"/>
  <c r="E28"/>
  <c r="E27"/>
  <c r="E26"/>
  <c r="E25"/>
  <c r="E24"/>
  <c r="E23"/>
  <c r="D32"/>
  <c r="D31"/>
  <c r="D30"/>
  <c r="D29"/>
  <c r="D28"/>
  <c r="D27"/>
  <c r="D26"/>
  <c r="D25"/>
  <c r="D24"/>
  <c r="D23"/>
  <c r="C32"/>
  <c r="C31"/>
  <c r="C30"/>
  <c r="C29"/>
  <c r="C28"/>
  <c r="C27"/>
  <c r="C26"/>
  <c r="C25"/>
  <c r="C24"/>
  <c r="C23"/>
  <c r="B32"/>
  <c r="B31"/>
  <c r="B30"/>
  <c r="B29"/>
  <c r="B28"/>
  <c r="B27"/>
  <c r="B26"/>
  <c r="B25"/>
  <c r="B24"/>
  <c r="B23"/>
  <c r="F7"/>
  <c r="F8" s="1"/>
  <c r="F9" s="1"/>
  <c r="F10" s="1"/>
  <c r="F11" s="1"/>
  <c r="F12" s="1"/>
  <c r="F13" s="1"/>
  <c r="F14" s="1"/>
  <c r="F15" s="1"/>
  <c r="F16" s="1"/>
  <c r="E16"/>
  <c r="E15"/>
  <c r="E14"/>
  <c r="E13"/>
  <c r="E12"/>
  <c r="E11"/>
  <c r="E10"/>
  <c r="E9"/>
  <c r="E8"/>
  <c r="E7"/>
  <c r="D7"/>
  <c r="D8" s="1"/>
  <c r="D9" s="1"/>
  <c r="D10" s="1"/>
  <c r="D11" s="1"/>
  <c r="D12" s="1"/>
  <c r="D13" s="1"/>
  <c r="D14" s="1"/>
  <c r="D15" s="1"/>
  <c r="D16" s="1"/>
  <c r="C16"/>
  <c r="C15"/>
  <c r="C14"/>
  <c r="C13"/>
  <c r="C12"/>
  <c r="C11"/>
  <c r="C10"/>
  <c r="C9"/>
  <c r="C8"/>
  <c r="C7"/>
  <c r="B7"/>
  <c r="B8" s="1"/>
  <c r="B9" s="1"/>
  <c r="B10" s="1"/>
  <c r="B11" s="1"/>
  <c r="B12" s="1"/>
  <c r="B13" s="1"/>
  <c r="B14" s="1"/>
  <c r="B15" s="1"/>
  <c r="B16" s="1"/>
  <c r="O7" i="34"/>
  <c r="P7"/>
  <c r="Q7"/>
  <c r="R7"/>
  <c r="O14"/>
  <c r="P14"/>
  <c r="Q14"/>
  <c r="R14"/>
  <c r="O8"/>
  <c r="P8"/>
  <c r="Q8"/>
  <c r="R8"/>
  <c r="O9"/>
  <c r="P9"/>
  <c r="Q9"/>
  <c r="R9"/>
  <c r="O15"/>
  <c r="P15"/>
  <c r="Q15"/>
  <c r="R15"/>
  <c r="O10"/>
  <c r="P10"/>
  <c r="Q10"/>
  <c r="R10"/>
  <c r="O12"/>
  <c r="P12"/>
  <c r="Q12"/>
  <c r="R12"/>
  <c r="O11"/>
  <c r="P11"/>
  <c r="Q11"/>
  <c r="R11"/>
  <c r="O16"/>
  <c r="P16"/>
  <c r="Q16"/>
  <c r="R16"/>
  <c r="O17"/>
  <c r="P17"/>
  <c r="Q17"/>
  <c r="R17"/>
  <c r="O18"/>
  <c r="P18"/>
  <c r="Q18"/>
  <c r="R18"/>
  <c r="N14"/>
  <c r="N8"/>
  <c r="N9"/>
  <c r="N15"/>
  <c r="N10"/>
  <c r="N12"/>
  <c r="N11"/>
  <c r="N16"/>
  <c r="N17"/>
  <c r="N18"/>
  <c r="N7"/>
  <c r="F36" i="38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7"/>
  <c r="F7" s="1"/>
  <c r="AL49" i="1"/>
  <c r="AK49"/>
  <c r="AL32"/>
  <c r="AK32"/>
  <c r="AN53"/>
  <c r="AN49"/>
  <c r="AN36"/>
  <c r="AN32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21"/>
  <c r="AJ53"/>
  <c r="AJ52"/>
  <c r="AJ51"/>
  <c r="AJ50"/>
  <c r="AJ49"/>
  <c r="AJ36"/>
  <c r="AJ35"/>
  <c r="AJ34"/>
  <c r="AJ33"/>
  <c r="AJ32"/>
  <c r="E102"/>
  <c r="E103"/>
  <c r="E104"/>
  <c r="E101"/>
  <c r="E100"/>
  <c r="G95"/>
  <c r="F95"/>
  <c r="E95"/>
  <c r="D95"/>
  <c r="C95"/>
  <c r="B95"/>
  <c r="I67"/>
  <c r="I66"/>
  <c r="I65"/>
  <c r="I64"/>
  <c r="I63"/>
  <c r="I59"/>
  <c r="I58"/>
  <c r="I57"/>
  <c r="I56"/>
  <c r="I55"/>
  <c r="I51"/>
  <c r="I50"/>
  <c r="I49"/>
  <c r="I48"/>
  <c r="I47"/>
  <c r="I43"/>
  <c r="I42"/>
  <c r="I41"/>
  <c r="I40"/>
  <c r="I39"/>
  <c r="I34"/>
  <c r="I33"/>
  <c r="I31"/>
  <c r="I32"/>
  <c r="AA30"/>
  <c r="AA34" s="1"/>
  <c r="Z30"/>
  <c r="Z37" s="1"/>
  <c r="Y30"/>
  <c r="X30"/>
  <c r="W30"/>
  <c r="W35" s="1"/>
  <c r="V30"/>
  <c r="V34" s="1"/>
  <c r="D83"/>
  <c r="C83"/>
  <c r="D82"/>
  <c r="C82"/>
  <c r="D81"/>
  <c r="C81"/>
  <c r="D80"/>
  <c r="C80"/>
  <c r="D79"/>
  <c r="C79"/>
  <c r="D67"/>
  <c r="C67"/>
  <c r="D66"/>
  <c r="C66"/>
  <c r="D65"/>
  <c r="C65"/>
  <c r="D64"/>
  <c r="C64"/>
  <c r="D63"/>
  <c r="C63"/>
  <c r="D59"/>
  <c r="C59"/>
  <c r="D58"/>
  <c r="C58"/>
  <c r="D57"/>
  <c r="C57"/>
  <c r="D56"/>
  <c r="C56"/>
  <c r="D55"/>
  <c r="C55"/>
  <c r="D51"/>
  <c r="C51"/>
  <c r="D50"/>
  <c r="C50"/>
  <c r="D49"/>
  <c r="C49"/>
  <c r="D48"/>
  <c r="C48"/>
  <c r="D47"/>
  <c r="C47"/>
  <c r="D43"/>
  <c r="C43"/>
  <c r="D42"/>
  <c r="C42"/>
  <c r="D41"/>
  <c r="C41"/>
  <c r="D40"/>
  <c r="C40"/>
  <c r="D39"/>
  <c r="C39"/>
  <c r="D35"/>
  <c r="D34"/>
  <c r="D33"/>
  <c r="D32"/>
  <c r="D31"/>
  <c r="C35"/>
  <c r="C34"/>
  <c r="C33"/>
  <c r="C32"/>
  <c r="C31"/>
  <c r="D13"/>
  <c r="E13"/>
  <c r="F13"/>
  <c r="G13"/>
  <c r="C13"/>
  <c r="B2" i="13"/>
  <c r="BN44" i="48" l="1"/>
  <c r="BN51" s="1"/>
  <c r="BN58" s="1"/>
  <c r="BR44"/>
  <c r="BR51" s="1"/>
  <c r="BR58" s="1"/>
  <c r="CN43"/>
  <c r="CN50" s="1"/>
  <c r="CN57" s="1"/>
  <c r="BZ43"/>
  <c r="BZ50" s="1"/>
  <c r="BZ57" s="1"/>
  <c r="BN43"/>
  <c r="BN50" s="1"/>
  <c r="BN57" s="1"/>
  <c r="BL44"/>
  <c r="BL51" s="1"/>
  <c r="BL58" s="1"/>
  <c r="AT42"/>
  <c r="AT49" s="1"/>
  <c r="AT56" s="1"/>
  <c r="AT43"/>
  <c r="AT50" s="1"/>
  <c r="AT57" s="1"/>
  <c r="AH43"/>
  <c r="AH50" s="1"/>
  <c r="AH57" s="1"/>
  <c r="AF43"/>
  <c r="AF50" s="1"/>
  <c r="AF57" s="1"/>
  <c r="R44"/>
  <c r="R51" s="1"/>
  <c r="R58" s="1"/>
  <c r="W125" i="44"/>
  <c r="F72" i="1"/>
  <c r="H72" s="1"/>
  <c r="J72" s="1"/>
  <c r="K72" s="1"/>
  <c r="BF44" i="48"/>
  <c r="BF51" s="1"/>
  <c r="BF58" s="1"/>
  <c r="AB42"/>
  <c r="AB49" s="1"/>
  <c r="AB56" s="1"/>
  <c r="BF43"/>
  <c r="BF50" s="1"/>
  <c r="BF57" s="1"/>
  <c r="AD42"/>
  <c r="AD49" s="1"/>
  <c r="AD56" s="1"/>
  <c r="BH43"/>
  <c r="BH50" s="1"/>
  <c r="BH57" s="1"/>
  <c r="BJ43"/>
  <c r="BJ50" s="1"/>
  <c r="BJ57" s="1"/>
  <c r="BH42"/>
  <c r="BH49" s="1"/>
  <c r="BH56" s="1"/>
  <c r="CL44"/>
  <c r="CL51" s="1"/>
  <c r="CL58" s="1"/>
  <c r="CN42"/>
  <c r="CN49" s="1"/>
  <c r="CN56" s="1"/>
  <c r="CP44"/>
  <c r="CP51" s="1"/>
  <c r="CP58" s="1"/>
  <c r="Z44"/>
  <c r="Z51" s="1"/>
  <c r="Z58" s="1"/>
  <c r="R43"/>
  <c r="R50" s="1"/>
  <c r="R57" s="1"/>
  <c r="AB44"/>
  <c r="AB51" s="1"/>
  <c r="AB58" s="1"/>
  <c r="T43"/>
  <c r="T50" s="1"/>
  <c r="T57" s="1"/>
  <c r="AD44"/>
  <c r="AD51" s="1"/>
  <c r="AD58" s="1"/>
  <c r="Z43"/>
  <c r="Z50" s="1"/>
  <c r="Z57" s="1"/>
  <c r="L41"/>
  <c r="L48" s="1"/>
  <c r="L55" s="1"/>
  <c r="AB43"/>
  <c r="AB50" s="1"/>
  <c r="AB57" s="1"/>
  <c r="AB41"/>
  <c r="AB48" s="1"/>
  <c r="AB55" s="1"/>
  <c r="AH44"/>
  <c r="AH51" s="1"/>
  <c r="AH58" s="1"/>
  <c r="AD43"/>
  <c r="AD50" s="1"/>
  <c r="AD57" s="1"/>
  <c r="BH41"/>
  <c r="BH48" s="1"/>
  <c r="BH55" s="1"/>
  <c r="AR43"/>
  <c r="AR50" s="1"/>
  <c r="AR57" s="1"/>
  <c r="AF42"/>
  <c r="AF49" s="1"/>
  <c r="AF56" s="1"/>
  <c r="AH42"/>
  <c r="AH49" s="1"/>
  <c r="AH56" s="1"/>
  <c r="BT44"/>
  <c r="BT51" s="1"/>
  <c r="BT58" s="1"/>
  <c r="BL43"/>
  <c r="BL50" s="1"/>
  <c r="BL57" s="1"/>
  <c r="CB43"/>
  <c r="CB50" s="1"/>
  <c r="CB57" s="1"/>
  <c r="CB44"/>
  <c r="CB51" s="1"/>
  <c r="CB58" s="1"/>
  <c r="P44"/>
  <c r="P51" s="1"/>
  <c r="P58" s="1"/>
  <c r="T44"/>
  <c r="T51" s="1"/>
  <c r="T58" s="1"/>
  <c r="AV42"/>
  <c r="AV49" s="1"/>
  <c r="AV56" s="1"/>
  <c r="AZ43"/>
  <c r="AZ50" s="1"/>
  <c r="AZ57" s="1"/>
  <c r="BD43"/>
  <c r="BD50" s="1"/>
  <c r="BD57" s="1"/>
  <c r="AV41"/>
  <c r="AV48" s="1"/>
  <c r="AV55" s="1"/>
  <c r="AX41"/>
  <c r="AX48" s="1"/>
  <c r="AX55" s="1"/>
  <c r="AZ41"/>
  <c r="AZ48" s="1"/>
  <c r="AZ55" s="1"/>
  <c r="P43"/>
  <c r="P50" s="1"/>
  <c r="P57" s="1"/>
  <c r="BF41"/>
  <c r="BF48" s="1"/>
  <c r="BF55" s="1"/>
  <c r="CD44"/>
  <c r="CD51" s="1"/>
  <c r="CD58" s="1"/>
  <c r="X43"/>
  <c r="X50" s="1"/>
  <c r="X57" s="1"/>
  <c r="AX42"/>
  <c r="AX49" s="1"/>
  <c r="AX56" s="1"/>
  <c r="BL41"/>
  <c r="BL48" s="1"/>
  <c r="BL55" s="1"/>
  <c r="AZ42"/>
  <c r="AZ49" s="1"/>
  <c r="AZ56" s="1"/>
  <c r="CB41"/>
  <c r="CB48" s="1"/>
  <c r="CB55" s="1"/>
  <c r="CD43"/>
  <c r="CD50" s="1"/>
  <c r="CD57" s="1"/>
  <c r="CD41"/>
  <c r="CD48" s="1"/>
  <c r="CD55" s="1"/>
  <c r="AV44"/>
  <c r="AV51" s="1"/>
  <c r="AV58" s="1"/>
  <c r="CF43"/>
  <c r="CF50" s="1"/>
  <c r="CF57" s="1"/>
  <c r="CB42"/>
  <c r="CB49" s="1"/>
  <c r="CB56" s="1"/>
  <c r="CF41"/>
  <c r="CF48" s="1"/>
  <c r="CF55" s="1"/>
  <c r="CR44"/>
  <c r="CR51" s="1"/>
  <c r="CR58" s="1"/>
  <c r="AX44"/>
  <c r="AX51" s="1"/>
  <c r="AX58" s="1"/>
  <c r="CJ43"/>
  <c r="CJ50" s="1"/>
  <c r="CJ57" s="1"/>
  <c r="CD42"/>
  <c r="CD49" s="1"/>
  <c r="CD56" s="1"/>
  <c r="CN41"/>
  <c r="CN48" s="1"/>
  <c r="CN55" s="1"/>
  <c r="P41"/>
  <c r="P48" s="1"/>
  <c r="P55" s="1"/>
  <c r="AZ44"/>
  <c r="AZ51" s="1"/>
  <c r="AZ58" s="1"/>
  <c r="CL43"/>
  <c r="CL50" s="1"/>
  <c r="CL57" s="1"/>
  <c r="CF42"/>
  <c r="CF49" s="1"/>
  <c r="CF56" s="1"/>
  <c r="R41"/>
  <c r="R48" s="1"/>
  <c r="R55" s="1"/>
  <c r="P42"/>
  <c r="P49" s="1"/>
  <c r="P56" s="1"/>
  <c r="T41"/>
  <c r="T48" s="1"/>
  <c r="T55" s="1"/>
  <c r="BH44"/>
  <c r="BH51" s="1"/>
  <c r="BH58" s="1"/>
  <c r="CP43"/>
  <c r="CP50" s="1"/>
  <c r="CP57" s="1"/>
  <c r="AV43"/>
  <c r="AV50" s="1"/>
  <c r="AV57" s="1"/>
  <c r="CP42"/>
  <c r="CP49" s="1"/>
  <c r="CP56" s="1"/>
  <c r="R42"/>
  <c r="R49" s="1"/>
  <c r="R56" s="1"/>
  <c r="X41"/>
  <c r="X48" s="1"/>
  <c r="X55" s="1"/>
  <c r="BJ44"/>
  <c r="BJ51" s="1"/>
  <c r="BJ58" s="1"/>
  <c r="CR43"/>
  <c r="CR50" s="1"/>
  <c r="CR57" s="1"/>
  <c r="AX43"/>
  <c r="AX50" s="1"/>
  <c r="AX57" s="1"/>
  <c r="CR42"/>
  <c r="CR49" s="1"/>
  <c r="CR56" s="1"/>
  <c r="T42"/>
  <c r="T49" s="1"/>
  <c r="T56" s="1"/>
  <c r="Z41"/>
  <c r="Z48" s="1"/>
  <c r="Z55" s="1"/>
  <c r="BX47"/>
  <c r="L47"/>
  <c r="AP43"/>
  <c r="AP50" s="1"/>
  <c r="AP57" s="1"/>
  <c r="BD41"/>
  <c r="BD48" s="1"/>
  <c r="BD55" s="1"/>
  <c r="BJ41"/>
  <c r="BJ48" s="1"/>
  <c r="BJ55" s="1"/>
  <c r="BD47"/>
  <c r="X47"/>
  <c r="BF47"/>
  <c r="Z47"/>
  <c r="CP47"/>
  <c r="BJ47"/>
  <c r="AD47"/>
  <c r="CR47"/>
  <c r="BL47"/>
  <c r="AF47"/>
  <c r="J47"/>
  <c r="BN47"/>
  <c r="AH47"/>
  <c r="AJ47"/>
  <c r="BR47"/>
  <c r="AL47"/>
  <c r="AN47"/>
  <c r="BX43"/>
  <c r="BX50" s="1"/>
  <c r="BX57" s="1"/>
  <c r="J42"/>
  <c r="J49" s="1"/>
  <c r="J56" s="1"/>
  <c r="BV47"/>
  <c r="BP44"/>
  <c r="BP51" s="1"/>
  <c r="BP58" s="1"/>
  <c r="AJ44"/>
  <c r="AJ51" s="1"/>
  <c r="AJ58" s="1"/>
  <c r="BV44"/>
  <c r="BV51" s="1"/>
  <c r="BV58" s="1"/>
  <c r="AL44"/>
  <c r="AL51" s="1"/>
  <c r="AL58" s="1"/>
  <c r="BP42"/>
  <c r="BP49" s="1"/>
  <c r="BP56" s="1"/>
  <c r="BX44"/>
  <c r="BX51" s="1"/>
  <c r="BX58" s="1"/>
  <c r="AN44"/>
  <c r="AN51" s="1"/>
  <c r="AN58" s="1"/>
  <c r="BR42"/>
  <c r="BR49" s="1"/>
  <c r="BR56" s="1"/>
  <c r="BP41"/>
  <c r="BP48" s="1"/>
  <c r="BP55" s="1"/>
  <c r="AP44"/>
  <c r="AP51" s="1"/>
  <c r="AP58" s="1"/>
  <c r="BT42"/>
  <c r="BT49" s="1"/>
  <c r="BT56" s="1"/>
  <c r="BR41"/>
  <c r="BR48" s="1"/>
  <c r="BR55" s="1"/>
  <c r="AR44"/>
  <c r="AR51" s="1"/>
  <c r="AR58" s="1"/>
  <c r="BV42"/>
  <c r="BV49" s="1"/>
  <c r="BV56" s="1"/>
  <c r="BT41"/>
  <c r="BT48" s="1"/>
  <c r="BT55" s="1"/>
  <c r="AJ42"/>
  <c r="AJ49" s="1"/>
  <c r="AJ56" s="1"/>
  <c r="AJ41"/>
  <c r="AJ48" s="1"/>
  <c r="AJ55" s="1"/>
  <c r="AL42"/>
  <c r="AL49" s="1"/>
  <c r="AL56" s="1"/>
  <c r="AL41"/>
  <c r="AL48" s="1"/>
  <c r="AL55" s="1"/>
  <c r="BP43"/>
  <c r="BP50" s="1"/>
  <c r="BP57" s="1"/>
  <c r="AN42"/>
  <c r="AN49" s="1"/>
  <c r="AN56" s="1"/>
  <c r="AN41"/>
  <c r="AN48" s="1"/>
  <c r="AN55" s="1"/>
  <c r="AP42"/>
  <c r="AP49" s="1"/>
  <c r="AP56" s="1"/>
  <c r="AR41"/>
  <c r="AR48" s="1"/>
  <c r="AR55" s="1"/>
  <c r="BT43"/>
  <c r="BT50" s="1"/>
  <c r="BT57" s="1"/>
  <c r="V41"/>
  <c r="V48" s="1"/>
  <c r="V55" s="1"/>
  <c r="CH43"/>
  <c r="CH50" s="1"/>
  <c r="CH57" s="1"/>
  <c r="BB43"/>
  <c r="BB50" s="1"/>
  <c r="BB57" s="1"/>
  <c r="V43"/>
  <c r="V50" s="1"/>
  <c r="V57" s="1"/>
  <c r="CH42"/>
  <c r="CH49" s="1"/>
  <c r="CH56" s="1"/>
  <c r="CJ42"/>
  <c r="CJ49" s="1"/>
  <c r="CJ56" s="1"/>
  <c r="BB42"/>
  <c r="BB49" s="1"/>
  <c r="BB56" s="1"/>
  <c r="CL42"/>
  <c r="CL49" s="1"/>
  <c r="CL56" s="1"/>
  <c r="BD42"/>
  <c r="BD49" s="1"/>
  <c r="BD56" s="1"/>
  <c r="V42"/>
  <c r="V49" s="1"/>
  <c r="V56" s="1"/>
  <c r="X42"/>
  <c r="X49" s="1"/>
  <c r="X56" s="1"/>
  <c r="CH41"/>
  <c r="CH48" s="1"/>
  <c r="CH55" s="1"/>
  <c r="CH44"/>
  <c r="CH51" s="1"/>
  <c r="CH58" s="1"/>
  <c r="BB44"/>
  <c r="BB51" s="1"/>
  <c r="BB58" s="1"/>
  <c r="V44"/>
  <c r="V51" s="1"/>
  <c r="V58" s="1"/>
  <c r="CJ41"/>
  <c r="CJ48" s="1"/>
  <c r="CJ55" s="1"/>
  <c r="CJ44"/>
  <c r="CJ51" s="1"/>
  <c r="CJ58" s="1"/>
  <c r="CL41"/>
  <c r="CL48" s="1"/>
  <c r="CL55" s="1"/>
  <c r="BB41"/>
  <c r="BB48" s="1"/>
  <c r="BB55" s="1"/>
  <c r="BX42"/>
  <c r="BX49" s="1"/>
  <c r="BX56" s="1"/>
  <c r="AR42"/>
  <c r="AR49" s="1"/>
  <c r="AR56" s="1"/>
  <c r="L42"/>
  <c r="L49" s="1"/>
  <c r="L56" s="1"/>
  <c r="BV41"/>
  <c r="BV48" s="1"/>
  <c r="BV55" s="1"/>
  <c r="AP41"/>
  <c r="AP48" s="1"/>
  <c r="AP55" s="1"/>
  <c r="J41"/>
  <c r="J48" s="1"/>
  <c r="J55" s="1"/>
  <c r="BZ41"/>
  <c r="BZ48" s="1"/>
  <c r="BZ55" s="1"/>
  <c r="AT41"/>
  <c r="AT48" s="1"/>
  <c r="AT55" s="1"/>
  <c r="N41"/>
  <c r="N48" s="1"/>
  <c r="N55" s="1"/>
  <c r="H44"/>
  <c r="H51" s="1"/>
  <c r="H58" s="1"/>
  <c r="H43"/>
  <c r="H50" s="1"/>
  <c r="H57" s="1"/>
  <c r="H42"/>
  <c r="H49" s="1"/>
  <c r="H56" s="1"/>
  <c r="H41"/>
  <c r="H48" s="1"/>
  <c r="H55" s="1"/>
  <c r="CK84"/>
  <c r="CK109" s="1"/>
  <c r="AO84"/>
  <c r="AO109" s="1"/>
  <c r="CL83"/>
  <c r="CL108" s="1"/>
  <c r="AZ77"/>
  <c r="AZ102" s="1"/>
  <c r="AN83"/>
  <c r="AN108" s="1"/>
  <c r="AD75"/>
  <c r="AD100" s="1"/>
  <c r="AB83"/>
  <c r="AB108" s="1"/>
  <c r="R77"/>
  <c r="R102" s="1"/>
  <c r="AL83"/>
  <c r="AL108" s="1"/>
  <c r="AG84"/>
  <c r="AG109" s="1"/>
  <c r="BD82"/>
  <c r="BD107" s="1"/>
  <c r="BT78"/>
  <c r="BT103" s="1"/>
  <c r="AZ84"/>
  <c r="AZ109" s="1"/>
  <c r="CF83"/>
  <c r="CF108" s="1"/>
  <c r="AZ83"/>
  <c r="AZ108" s="1"/>
  <c r="CF82"/>
  <c r="CF107" s="1"/>
  <c r="AX83"/>
  <c r="AX108" s="1"/>
  <c r="AX84"/>
  <c r="AX109" s="1"/>
  <c r="AF83"/>
  <c r="AF108" s="1"/>
  <c r="BB83"/>
  <c r="BB108" s="1"/>
  <c r="P83"/>
  <c r="P108" s="1"/>
  <c r="BP83"/>
  <c r="BP108" s="1"/>
  <c r="AP83"/>
  <c r="AP108" s="1"/>
  <c r="AP77"/>
  <c r="AP102" s="1"/>
  <c r="AP76"/>
  <c r="AP101" s="1"/>
  <c r="AP75"/>
  <c r="AP100" s="1"/>
  <c r="AN75"/>
  <c r="AN100" s="1"/>
  <c r="AZ78"/>
  <c r="AZ103" s="1"/>
  <c r="CI86"/>
  <c r="CI111" s="1"/>
  <c r="BS86"/>
  <c r="BS111" s="1"/>
  <c r="AF86"/>
  <c r="AF111" s="1"/>
  <c r="Q86"/>
  <c r="Q111" s="1"/>
  <c r="AF85"/>
  <c r="AF110" s="1"/>
  <c r="BP85"/>
  <c r="BP110" s="1"/>
  <c r="P75"/>
  <c r="P100" s="1"/>
  <c r="BD78"/>
  <c r="BD103" s="1"/>
  <c r="BP72"/>
  <c r="BP97" s="1"/>
  <c r="CD78"/>
  <c r="CD103" s="1"/>
  <c r="L85"/>
  <c r="L110" s="1"/>
  <c r="BD75"/>
  <c r="BD100" s="1"/>
  <c r="BR85"/>
  <c r="BR110" s="1"/>
  <c r="CD75"/>
  <c r="CD100" s="1"/>
  <c r="J84"/>
  <c r="J109" s="1"/>
  <c r="V76"/>
  <c r="V101" s="1"/>
  <c r="BR75"/>
  <c r="BR100" s="1"/>
  <c r="CB83"/>
  <c r="CB108" s="1"/>
  <c r="N85"/>
  <c r="N110" s="1"/>
  <c r="Z75"/>
  <c r="Z100" s="1"/>
  <c r="AT83"/>
  <c r="AT108" s="1"/>
  <c r="BV84"/>
  <c r="BV109" s="1"/>
  <c r="H76"/>
  <c r="H101" s="1"/>
  <c r="Z78"/>
  <c r="Z103" s="1"/>
  <c r="AT85"/>
  <c r="AT110" s="1"/>
  <c r="BJ85"/>
  <c r="BJ110" s="1"/>
  <c r="H83"/>
  <c r="H108" s="1"/>
  <c r="CP86"/>
  <c r="CP111" s="1"/>
  <c r="AR75"/>
  <c r="AR100" s="1"/>
  <c r="BJ75"/>
  <c r="BJ100" s="1"/>
  <c r="CP83"/>
  <c r="CP108" s="1"/>
  <c r="AP72"/>
  <c r="AP97" s="1"/>
  <c r="AH85"/>
  <c r="AH110" s="1"/>
  <c r="AM82"/>
  <c r="AM107" s="1"/>
  <c r="AQ82"/>
  <c r="AQ107" s="1"/>
  <c r="CM82"/>
  <c r="CM107" s="1"/>
  <c r="M72"/>
  <c r="M97" s="1"/>
  <c r="AU72"/>
  <c r="AU97" s="1"/>
  <c r="CE88"/>
  <c r="CE113" s="1"/>
  <c r="AL82"/>
  <c r="AL107" s="1"/>
  <c r="BV82"/>
  <c r="BV107" s="1"/>
  <c r="M88"/>
  <c r="M113" s="1"/>
  <c r="AU88"/>
  <c r="AU113" s="1"/>
  <c r="CE72"/>
  <c r="CE97" s="1"/>
  <c r="AN82"/>
  <c r="AN107" s="1"/>
  <c r="BR74"/>
  <c r="BR99" s="1"/>
  <c r="BV79"/>
  <c r="BV104" s="1"/>
  <c r="BQ74"/>
  <c r="BQ99" s="1"/>
  <c r="BW74"/>
  <c r="BW99" s="1"/>
  <c r="CC74"/>
  <c r="CC99" s="1"/>
  <c r="AT82"/>
  <c r="AT107" s="1"/>
  <c r="AX78"/>
  <c r="AX103" s="1"/>
  <c r="BN86"/>
  <c r="BN111" s="1"/>
  <c r="CS76"/>
  <c r="CS101" s="1"/>
  <c r="BU76"/>
  <c r="BU101" s="1"/>
  <c r="CA76"/>
  <c r="CA101" s="1"/>
  <c r="BX86"/>
  <c r="BX111" s="1"/>
  <c r="CQ78"/>
  <c r="CQ103" s="1"/>
  <c r="AK82"/>
  <c r="AK107" s="1"/>
  <c r="BY78"/>
  <c r="BY103" s="1"/>
  <c r="CP71"/>
  <c r="CP96" s="1"/>
  <c r="AD76"/>
  <c r="AD101" s="1"/>
  <c r="AT84"/>
  <c r="AT109" s="1"/>
  <c r="AZ76"/>
  <c r="AZ101" s="1"/>
  <c r="U82"/>
  <c r="U107" s="1"/>
  <c r="AE82"/>
  <c r="AE107" s="1"/>
  <c r="BK82"/>
  <c r="BK107" s="1"/>
  <c r="P76"/>
  <c r="P101" s="1"/>
  <c r="CN76"/>
  <c r="CN101" s="1"/>
  <c r="BB76"/>
  <c r="BB101" s="1"/>
  <c r="CL72"/>
  <c r="CL97" s="1"/>
  <c r="S84"/>
  <c r="S109" s="1"/>
  <c r="AC84"/>
  <c r="AC109" s="1"/>
  <c r="BI84"/>
  <c r="BI109" s="1"/>
  <c r="T78"/>
  <c r="T103" s="1"/>
  <c r="AD71"/>
  <c r="AD96" s="1"/>
  <c r="AT86"/>
  <c r="AT111" s="1"/>
  <c r="AX81"/>
  <c r="AX106" s="1"/>
  <c r="AH76"/>
  <c r="AH101" s="1"/>
  <c r="CJ85"/>
  <c r="CJ110" s="1"/>
  <c r="O86"/>
  <c r="O111" s="1"/>
  <c r="AA86"/>
  <c r="AA111" s="1"/>
  <c r="BG86"/>
  <c r="BG111" s="1"/>
  <c r="L75"/>
  <c r="L100" s="1"/>
  <c r="R79"/>
  <c r="R104" s="1"/>
  <c r="AB84"/>
  <c r="AB109" s="1"/>
  <c r="AR76"/>
  <c r="AR101" s="1"/>
  <c r="AX82"/>
  <c r="AX107" s="1"/>
  <c r="BH76"/>
  <c r="BH101" s="1"/>
  <c r="CJ74"/>
  <c r="CJ99" s="1"/>
  <c r="K88"/>
  <c r="K113" s="1"/>
  <c r="BM88"/>
  <c r="BM113" s="1"/>
  <c r="BC88"/>
  <c r="BC113" s="1"/>
  <c r="R78"/>
  <c r="R103" s="1"/>
  <c r="AV80"/>
  <c r="AV105" s="1"/>
  <c r="BH74"/>
  <c r="BH99" s="1"/>
  <c r="CH76"/>
  <c r="CH101" s="1"/>
  <c r="K72"/>
  <c r="K97" s="1"/>
  <c r="BM72"/>
  <c r="BM97" s="1"/>
  <c r="BC72"/>
  <c r="BC97" s="1"/>
  <c r="N76"/>
  <c r="N101" s="1"/>
  <c r="AJ82"/>
  <c r="AJ107" s="1"/>
  <c r="AR78"/>
  <c r="AR103" s="1"/>
  <c r="AV79"/>
  <c r="AV104" s="1"/>
  <c r="BF78"/>
  <c r="BF103" s="1"/>
  <c r="BZ78"/>
  <c r="BZ103" s="1"/>
  <c r="I86"/>
  <c r="I111" s="1"/>
  <c r="BE74"/>
  <c r="BE99" s="1"/>
  <c r="BA74"/>
  <c r="BA99" s="1"/>
  <c r="J83"/>
  <c r="J108" s="1"/>
  <c r="R76"/>
  <c r="R101" s="1"/>
  <c r="AJ85"/>
  <c r="AJ110" s="1"/>
  <c r="AR83"/>
  <c r="AR108" s="1"/>
  <c r="AV74"/>
  <c r="AV99" s="1"/>
  <c r="BF76"/>
  <c r="BF101" s="1"/>
  <c r="BZ76"/>
  <c r="BZ101" s="1"/>
  <c r="W84"/>
  <c r="W109" s="1"/>
  <c r="AY76"/>
  <c r="AY101" s="1"/>
  <c r="N83"/>
  <c r="N108" s="1"/>
  <c r="R75"/>
  <c r="R100" s="1"/>
  <c r="BL75"/>
  <c r="BL100" s="1"/>
  <c r="AP78"/>
  <c r="AP103" s="1"/>
  <c r="AV78"/>
  <c r="AV103" s="1"/>
  <c r="BF75"/>
  <c r="BF100" s="1"/>
  <c r="CD80"/>
  <c r="CD105" s="1"/>
  <c r="Y78"/>
  <c r="Y103" s="1"/>
  <c r="AW78"/>
  <c r="AW103" s="1"/>
  <c r="AN88"/>
  <c r="AN113" s="1"/>
  <c r="E80"/>
  <c r="AF88"/>
  <c r="AF113" s="1"/>
  <c r="AB88"/>
  <c r="AB113" s="1"/>
  <c r="AN87"/>
  <c r="AN112" s="1"/>
  <c r="AR74"/>
  <c r="AR99" s="1"/>
  <c r="BR73"/>
  <c r="BR98" s="1"/>
  <c r="BP71"/>
  <c r="BP96" s="1"/>
  <c r="BP87"/>
  <c r="BP112" s="1"/>
  <c r="BF77"/>
  <c r="BF102" s="1"/>
  <c r="BH75"/>
  <c r="BH100" s="1"/>
  <c r="AH83"/>
  <c r="AH108" s="1"/>
  <c r="BJ76"/>
  <c r="BJ101" s="1"/>
  <c r="BJ79"/>
  <c r="BJ104" s="1"/>
  <c r="BN85"/>
  <c r="BN110" s="1"/>
  <c r="BV83"/>
  <c r="BV108" s="1"/>
  <c r="CB77"/>
  <c r="CB102" s="1"/>
  <c r="CD79"/>
  <c r="CD104" s="1"/>
  <c r="BZ77"/>
  <c r="BZ102" s="1"/>
  <c r="CH75"/>
  <c r="CH100" s="1"/>
  <c r="CJ73"/>
  <c r="CJ98" s="1"/>
  <c r="CL71"/>
  <c r="CL96" s="1"/>
  <c r="CL87"/>
  <c r="CL112" s="1"/>
  <c r="BX85"/>
  <c r="BX110" s="1"/>
  <c r="I87"/>
  <c r="I112" s="1"/>
  <c r="K71"/>
  <c r="K96" s="1"/>
  <c r="K87"/>
  <c r="K112" s="1"/>
  <c r="O85"/>
  <c r="O110" s="1"/>
  <c r="S83"/>
  <c r="S108" s="1"/>
  <c r="U81"/>
  <c r="U106" s="1"/>
  <c r="CO79"/>
  <c r="CO104" s="1"/>
  <c r="CQ77"/>
  <c r="CQ102" s="1"/>
  <c r="CS75"/>
  <c r="CS100" s="1"/>
  <c r="BQ73"/>
  <c r="BQ98" s="1"/>
  <c r="M71"/>
  <c r="M96" s="1"/>
  <c r="M73"/>
  <c r="M98" s="1"/>
  <c r="Q85"/>
  <c r="Q110" s="1"/>
  <c r="AG83"/>
  <c r="AG108" s="1"/>
  <c r="AM81"/>
  <c r="AM106" s="1"/>
  <c r="CG79"/>
  <c r="CG104" s="1"/>
  <c r="Y77"/>
  <c r="Y102" s="1"/>
  <c r="W85"/>
  <c r="W110" s="1"/>
  <c r="BE73"/>
  <c r="BE98" s="1"/>
  <c r="BM71"/>
  <c r="BM96" s="1"/>
  <c r="BM87"/>
  <c r="BM112" s="1"/>
  <c r="AA85"/>
  <c r="AA110" s="1"/>
  <c r="AC83"/>
  <c r="AC108" s="1"/>
  <c r="AE81"/>
  <c r="AE106" s="1"/>
  <c r="AI79"/>
  <c r="AI104" s="1"/>
  <c r="AK83"/>
  <c r="AK108" s="1"/>
  <c r="BU75"/>
  <c r="BU100" s="1"/>
  <c r="BW73"/>
  <c r="BW98" s="1"/>
  <c r="AU71"/>
  <c r="AU96" s="1"/>
  <c r="AU73"/>
  <c r="AU98" s="1"/>
  <c r="BS85"/>
  <c r="BS110" s="1"/>
  <c r="AO83"/>
  <c r="AO108" s="1"/>
  <c r="AQ81"/>
  <c r="AQ106" s="1"/>
  <c r="AS79"/>
  <c r="AS104" s="1"/>
  <c r="AW77"/>
  <c r="AW102" s="1"/>
  <c r="AY75"/>
  <c r="AY100" s="1"/>
  <c r="BA73"/>
  <c r="BA98" s="1"/>
  <c r="BC71"/>
  <c r="BC96" s="1"/>
  <c r="BC87"/>
  <c r="BC112" s="1"/>
  <c r="BG85"/>
  <c r="BG110" s="1"/>
  <c r="BI83"/>
  <c r="BI108" s="1"/>
  <c r="BK81"/>
  <c r="BK106" s="1"/>
  <c r="BO79"/>
  <c r="BO104" s="1"/>
  <c r="BY77"/>
  <c r="BY102" s="1"/>
  <c r="CA75"/>
  <c r="CA100" s="1"/>
  <c r="CC73"/>
  <c r="CC98" s="1"/>
  <c r="CE71"/>
  <c r="CE96" s="1"/>
  <c r="CE87"/>
  <c r="CE112" s="1"/>
  <c r="CI85"/>
  <c r="CI110" s="1"/>
  <c r="CK83"/>
  <c r="CK108" s="1"/>
  <c r="CM81"/>
  <c r="CM106" s="1"/>
  <c r="BO80"/>
  <c r="BO105" s="1"/>
  <c r="AR72"/>
  <c r="AR97" s="1"/>
  <c r="BR72"/>
  <c r="BR97" s="1"/>
  <c r="BR88"/>
  <c r="BR113" s="1"/>
  <c r="BP86"/>
  <c r="BP111" s="1"/>
  <c r="AX72"/>
  <c r="AX97" s="1"/>
  <c r="AH77"/>
  <c r="AH102" s="1"/>
  <c r="AH86"/>
  <c r="AH111" s="1"/>
  <c r="BJ73"/>
  <c r="BJ98" s="1"/>
  <c r="BN84"/>
  <c r="BN109" s="1"/>
  <c r="CB71"/>
  <c r="CB96" s="1"/>
  <c r="CH74"/>
  <c r="CH99" s="1"/>
  <c r="CJ72"/>
  <c r="CJ97" s="1"/>
  <c r="CJ88"/>
  <c r="CJ113" s="1"/>
  <c r="CL86"/>
  <c r="CL111" s="1"/>
  <c r="BX84"/>
  <c r="BX109" s="1"/>
  <c r="I88"/>
  <c r="I113" s="1"/>
  <c r="I72"/>
  <c r="I97" s="1"/>
  <c r="K86"/>
  <c r="K111" s="1"/>
  <c r="O84"/>
  <c r="O109" s="1"/>
  <c r="S82"/>
  <c r="S107" s="1"/>
  <c r="U80"/>
  <c r="U105" s="1"/>
  <c r="CO78"/>
  <c r="CO103" s="1"/>
  <c r="CQ76"/>
  <c r="CQ101" s="1"/>
  <c r="CS74"/>
  <c r="CS99" s="1"/>
  <c r="BQ72"/>
  <c r="BQ97" s="1"/>
  <c r="BQ88"/>
  <c r="BQ113" s="1"/>
  <c r="M74"/>
  <c r="M99" s="1"/>
  <c r="Q84"/>
  <c r="Q109" s="1"/>
  <c r="AG82"/>
  <c r="AG107" s="1"/>
  <c r="AM80"/>
  <c r="AM105" s="1"/>
  <c r="CG78"/>
  <c r="CG103" s="1"/>
  <c r="Y76"/>
  <c r="Y101" s="1"/>
  <c r="W86"/>
  <c r="W111" s="1"/>
  <c r="BE72"/>
  <c r="BE97" s="1"/>
  <c r="BE88"/>
  <c r="BE113" s="1"/>
  <c r="BM86"/>
  <c r="BM111" s="1"/>
  <c r="AA84"/>
  <c r="AA109" s="1"/>
  <c r="AC82"/>
  <c r="AC107" s="1"/>
  <c r="AE80"/>
  <c r="AE105" s="1"/>
  <c r="AI78"/>
  <c r="AI103" s="1"/>
  <c r="AK84"/>
  <c r="AK109" s="1"/>
  <c r="BU74"/>
  <c r="BU99" s="1"/>
  <c r="BW72"/>
  <c r="BW97" s="1"/>
  <c r="BW88"/>
  <c r="BW113" s="1"/>
  <c r="AU74"/>
  <c r="AU99" s="1"/>
  <c r="BS84"/>
  <c r="BS109" s="1"/>
  <c r="AO82"/>
  <c r="AO107" s="1"/>
  <c r="AQ80"/>
  <c r="AQ105" s="1"/>
  <c r="AS78"/>
  <c r="AS103" s="1"/>
  <c r="AW76"/>
  <c r="AW101" s="1"/>
  <c r="AY74"/>
  <c r="AY99" s="1"/>
  <c r="BA72"/>
  <c r="BA97" s="1"/>
  <c r="BA88"/>
  <c r="BA113" s="1"/>
  <c r="BC86"/>
  <c r="BC111" s="1"/>
  <c r="BG84"/>
  <c r="BG109" s="1"/>
  <c r="BI82"/>
  <c r="BI107" s="1"/>
  <c r="BK80"/>
  <c r="BK105" s="1"/>
  <c r="BO78"/>
  <c r="BO103" s="1"/>
  <c r="BY76"/>
  <c r="BY101" s="1"/>
  <c r="CA74"/>
  <c r="CA99" s="1"/>
  <c r="CC72"/>
  <c r="CC97" s="1"/>
  <c r="CC88"/>
  <c r="CC113" s="1"/>
  <c r="CE86"/>
  <c r="CE111" s="1"/>
  <c r="CI84"/>
  <c r="CI109" s="1"/>
  <c r="CK82"/>
  <c r="CK107" s="1"/>
  <c r="CM80"/>
  <c r="CM105" s="1"/>
  <c r="N84"/>
  <c r="N109" s="1"/>
  <c r="BT88"/>
  <c r="BT113" s="1"/>
  <c r="CN88"/>
  <c r="CN113" s="1"/>
  <c r="V77"/>
  <c r="V102" s="1"/>
  <c r="AN81"/>
  <c r="AN106" s="1"/>
  <c r="AP71"/>
  <c r="AP96" s="1"/>
  <c r="AT87"/>
  <c r="AT112" s="1"/>
  <c r="BR71"/>
  <c r="BR96" s="1"/>
  <c r="BR87"/>
  <c r="BR112" s="1"/>
  <c r="AV73"/>
  <c r="AV98" s="1"/>
  <c r="AZ81"/>
  <c r="AZ106" s="1"/>
  <c r="BH73"/>
  <c r="BH98" s="1"/>
  <c r="AH71"/>
  <c r="AH96" s="1"/>
  <c r="AH80"/>
  <c r="AH105" s="1"/>
  <c r="BJ86"/>
  <c r="BJ111" s="1"/>
  <c r="BN83"/>
  <c r="BN108" s="1"/>
  <c r="BV81"/>
  <c r="BV106" s="1"/>
  <c r="CB85"/>
  <c r="CB110" s="1"/>
  <c r="CD77"/>
  <c r="CD102" s="1"/>
  <c r="BZ75"/>
  <c r="BZ100" s="1"/>
  <c r="CH73"/>
  <c r="CH98" s="1"/>
  <c r="CJ71"/>
  <c r="CJ96" s="1"/>
  <c r="CJ87"/>
  <c r="CJ112" s="1"/>
  <c r="CL85"/>
  <c r="CL110" s="1"/>
  <c r="BX83"/>
  <c r="BX108" s="1"/>
  <c r="I71"/>
  <c r="I96" s="1"/>
  <c r="I73"/>
  <c r="I98" s="1"/>
  <c r="K85"/>
  <c r="K110" s="1"/>
  <c r="O83"/>
  <c r="O108" s="1"/>
  <c r="S81"/>
  <c r="S106" s="1"/>
  <c r="U79"/>
  <c r="U104" s="1"/>
  <c r="CO77"/>
  <c r="CO102" s="1"/>
  <c r="CQ75"/>
  <c r="CQ100" s="1"/>
  <c r="CS73"/>
  <c r="CS98" s="1"/>
  <c r="BQ71"/>
  <c r="BQ96" s="1"/>
  <c r="BQ87"/>
  <c r="BQ112" s="1"/>
  <c r="M75"/>
  <c r="M100" s="1"/>
  <c r="Q83"/>
  <c r="Q108" s="1"/>
  <c r="AG81"/>
  <c r="AG106" s="1"/>
  <c r="AM79"/>
  <c r="AM104" s="1"/>
  <c r="CG77"/>
  <c r="CG102" s="1"/>
  <c r="Y75"/>
  <c r="Y100" s="1"/>
  <c r="W87"/>
  <c r="W112" s="1"/>
  <c r="BE71"/>
  <c r="BE96" s="1"/>
  <c r="BE87"/>
  <c r="BE112" s="1"/>
  <c r="BM85"/>
  <c r="BM110" s="1"/>
  <c r="AA83"/>
  <c r="AA108" s="1"/>
  <c r="AC81"/>
  <c r="AC106" s="1"/>
  <c r="AE79"/>
  <c r="AE104" s="1"/>
  <c r="AI77"/>
  <c r="AI102" s="1"/>
  <c r="AK85"/>
  <c r="AK110" s="1"/>
  <c r="BU73"/>
  <c r="BU98" s="1"/>
  <c r="BW71"/>
  <c r="BW96" s="1"/>
  <c r="BW87"/>
  <c r="BW112" s="1"/>
  <c r="AU75"/>
  <c r="AU100" s="1"/>
  <c r="BS83"/>
  <c r="BS108" s="1"/>
  <c r="AO81"/>
  <c r="AO106" s="1"/>
  <c r="AQ79"/>
  <c r="AQ104" s="1"/>
  <c r="AS77"/>
  <c r="AS102" s="1"/>
  <c r="AW75"/>
  <c r="AW100" s="1"/>
  <c r="AY73"/>
  <c r="AY98" s="1"/>
  <c r="BA71"/>
  <c r="BA96" s="1"/>
  <c r="BA87"/>
  <c r="BA112" s="1"/>
  <c r="BC85"/>
  <c r="BC110" s="1"/>
  <c r="BG83"/>
  <c r="BG108" s="1"/>
  <c r="BI81"/>
  <c r="BI106" s="1"/>
  <c r="BK79"/>
  <c r="BK104" s="1"/>
  <c r="BO77"/>
  <c r="BO102" s="1"/>
  <c r="BY75"/>
  <c r="BY100" s="1"/>
  <c r="CA73"/>
  <c r="CA98" s="1"/>
  <c r="CC71"/>
  <c r="CC96" s="1"/>
  <c r="CC87"/>
  <c r="CC112" s="1"/>
  <c r="CE85"/>
  <c r="CE110" s="1"/>
  <c r="CI83"/>
  <c r="CI108" s="1"/>
  <c r="CK81"/>
  <c r="CK106" s="1"/>
  <c r="CM79"/>
  <c r="CM104" s="1"/>
  <c r="E71"/>
  <c r="E86"/>
  <c r="J85"/>
  <c r="J110" s="1"/>
  <c r="P72"/>
  <c r="P97" s="1"/>
  <c r="AF84"/>
  <c r="AF109" s="1"/>
  <c r="BT82"/>
  <c r="BT107" s="1"/>
  <c r="CN83"/>
  <c r="CN108" s="1"/>
  <c r="V83"/>
  <c r="V108" s="1"/>
  <c r="AB77"/>
  <c r="AB102" s="1"/>
  <c r="AN76"/>
  <c r="AN101" s="1"/>
  <c r="AP88"/>
  <c r="AP113" s="1"/>
  <c r="AR84"/>
  <c r="AR109" s="1"/>
  <c r="AT88"/>
  <c r="AT113" s="1"/>
  <c r="AT72"/>
  <c r="AT97" s="1"/>
  <c r="BR86"/>
  <c r="BR111" s="1"/>
  <c r="BP84"/>
  <c r="BP109" s="1"/>
  <c r="AV84"/>
  <c r="AV109" s="1"/>
  <c r="BB81"/>
  <c r="BB106" s="1"/>
  <c r="BB77"/>
  <c r="BB102" s="1"/>
  <c r="AX85"/>
  <c r="AX110" s="1"/>
  <c r="BF74"/>
  <c r="BF99" s="1"/>
  <c r="BH72"/>
  <c r="BH97" s="1"/>
  <c r="BH88"/>
  <c r="BH113" s="1"/>
  <c r="AH74"/>
  <c r="AH99" s="1"/>
  <c r="BJ80"/>
  <c r="BJ105" s="1"/>
  <c r="BN82"/>
  <c r="BN107" s="1"/>
  <c r="BV80"/>
  <c r="BV105" s="1"/>
  <c r="CB88"/>
  <c r="CB113" s="1"/>
  <c r="CD76"/>
  <c r="CD101" s="1"/>
  <c r="BZ74"/>
  <c r="BZ99" s="1"/>
  <c r="CH72"/>
  <c r="CH97" s="1"/>
  <c r="CH88"/>
  <c r="CH113" s="1"/>
  <c r="CJ86"/>
  <c r="CJ111" s="1"/>
  <c r="CL84"/>
  <c r="CL109" s="1"/>
  <c r="BX82"/>
  <c r="BX107" s="1"/>
  <c r="I74"/>
  <c r="I99" s="1"/>
  <c r="K84"/>
  <c r="K109" s="1"/>
  <c r="O82"/>
  <c r="O107" s="1"/>
  <c r="S80"/>
  <c r="S105" s="1"/>
  <c r="U78"/>
  <c r="U103" s="1"/>
  <c r="CO76"/>
  <c r="CO101" s="1"/>
  <c r="CQ74"/>
  <c r="CQ99" s="1"/>
  <c r="CS72"/>
  <c r="CS97" s="1"/>
  <c r="CS88"/>
  <c r="CS113" s="1"/>
  <c r="BQ86"/>
  <c r="BQ111" s="1"/>
  <c r="M76"/>
  <c r="M101" s="1"/>
  <c r="Q82"/>
  <c r="Q107" s="1"/>
  <c r="AG80"/>
  <c r="AG105" s="1"/>
  <c r="AM78"/>
  <c r="AM103" s="1"/>
  <c r="CG76"/>
  <c r="CG101" s="1"/>
  <c r="Y74"/>
  <c r="Y99" s="1"/>
  <c r="W88"/>
  <c r="W113" s="1"/>
  <c r="W72"/>
  <c r="W97" s="1"/>
  <c r="BE86"/>
  <c r="BE111" s="1"/>
  <c r="BM84"/>
  <c r="BM109" s="1"/>
  <c r="AA82"/>
  <c r="AA107" s="1"/>
  <c r="AC80"/>
  <c r="AC105" s="1"/>
  <c r="AE78"/>
  <c r="AE103" s="1"/>
  <c r="AI76"/>
  <c r="AI101" s="1"/>
  <c r="AK86"/>
  <c r="AK111" s="1"/>
  <c r="BU72"/>
  <c r="BU97" s="1"/>
  <c r="BU88"/>
  <c r="BU113" s="1"/>
  <c r="BW86"/>
  <c r="BW111" s="1"/>
  <c r="AU76"/>
  <c r="AU101" s="1"/>
  <c r="BS82"/>
  <c r="BS107" s="1"/>
  <c r="AO80"/>
  <c r="AO105" s="1"/>
  <c r="AQ78"/>
  <c r="AQ103" s="1"/>
  <c r="AS76"/>
  <c r="AS101" s="1"/>
  <c r="AW74"/>
  <c r="AW99" s="1"/>
  <c r="AY72"/>
  <c r="AY97" s="1"/>
  <c r="AY88"/>
  <c r="AY113" s="1"/>
  <c r="BA86"/>
  <c r="BA111" s="1"/>
  <c r="BC84"/>
  <c r="BC109" s="1"/>
  <c r="BG82"/>
  <c r="BG107" s="1"/>
  <c r="BI80"/>
  <c r="BI105" s="1"/>
  <c r="BK78"/>
  <c r="BK103" s="1"/>
  <c r="BO76"/>
  <c r="BO101" s="1"/>
  <c r="BY74"/>
  <c r="BY99" s="1"/>
  <c r="CA72"/>
  <c r="CA97" s="1"/>
  <c r="CA88"/>
  <c r="CA113" s="1"/>
  <c r="CC86"/>
  <c r="CC111" s="1"/>
  <c r="CE84"/>
  <c r="CE109" s="1"/>
  <c r="CI82"/>
  <c r="CI107" s="1"/>
  <c r="CK80"/>
  <c r="CK105" s="1"/>
  <c r="CM78"/>
  <c r="CM103" s="1"/>
  <c r="AP87"/>
  <c r="AP112" s="1"/>
  <c r="AT71"/>
  <c r="AT96" s="1"/>
  <c r="AT73"/>
  <c r="AT98" s="1"/>
  <c r="BB71"/>
  <c r="BB96" s="1"/>
  <c r="BF73"/>
  <c r="BF98" s="1"/>
  <c r="BH71"/>
  <c r="BH96" s="1"/>
  <c r="BH87"/>
  <c r="BH112" s="1"/>
  <c r="BJ74"/>
  <c r="BJ99" s="1"/>
  <c r="BN81"/>
  <c r="BN106" s="1"/>
  <c r="CB87"/>
  <c r="CB112" s="1"/>
  <c r="BZ73"/>
  <c r="BZ98" s="1"/>
  <c r="CH71"/>
  <c r="CH96" s="1"/>
  <c r="CH87"/>
  <c r="CH112" s="1"/>
  <c r="BX81"/>
  <c r="BX106" s="1"/>
  <c r="I75"/>
  <c r="I100" s="1"/>
  <c r="K83"/>
  <c r="K108" s="1"/>
  <c r="O81"/>
  <c r="O106" s="1"/>
  <c r="S79"/>
  <c r="S104" s="1"/>
  <c r="U77"/>
  <c r="U102" s="1"/>
  <c r="CO75"/>
  <c r="CO100" s="1"/>
  <c r="CQ73"/>
  <c r="CQ98" s="1"/>
  <c r="CS71"/>
  <c r="CS96" s="1"/>
  <c r="CS87"/>
  <c r="CS112" s="1"/>
  <c r="BQ85"/>
  <c r="BQ110" s="1"/>
  <c r="M77"/>
  <c r="M102" s="1"/>
  <c r="Q81"/>
  <c r="Q106" s="1"/>
  <c r="AG79"/>
  <c r="AG104" s="1"/>
  <c r="AM77"/>
  <c r="AM102" s="1"/>
  <c r="CG75"/>
  <c r="CG100" s="1"/>
  <c r="Y73"/>
  <c r="Y98" s="1"/>
  <c r="W71"/>
  <c r="W96" s="1"/>
  <c r="W73"/>
  <c r="W98" s="1"/>
  <c r="BE85"/>
  <c r="BE110" s="1"/>
  <c r="BM83"/>
  <c r="BM108" s="1"/>
  <c r="AA81"/>
  <c r="AA106" s="1"/>
  <c r="AC79"/>
  <c r="AC104" s="1"/>
  <c r="AE77"/>
  <c r="AE102" s="1"/>
  <c r="AI75"/>
  <c r="AI100" s="1"/>
  <c r="AK87"/>
  <c r="AK112" s="1"/>
  <c r="BU71"/>
  <c r="BU96" s="1"/>
  <c r="BU87"/>
  <c r="BU112" s="1"/>
  <c r="BW85"/>
  <c r="BW110" s="1"/>
  <c r="AU77"/>
  <c r="AU102" s="1"/>
  <c r="BS81"/>
  <c r="BS106" s="1"/>
  <c r="AO79"/>
  <c r="AO104" s="1"/>
  <c r="AQ77"/>
  <c r="AQ102" s="1"/>
  <c r="AS75"/>
  <c r="AS100" s="1"/>
  <c r="AW73"/>
  <c r="AW98" s="1"/>
  <c r="AY71"/>
  <c r="AY96" s="1"/>
  <c r="AY87"/>
  <c r="AY112" s="1"/>
  <c r="BA85"/>
  <c r="BA110" s="1"/>
  <c r="BC83"/>
  <c r="BC108" s="1"/>
  <c r="BG81"/>
  <c r="BG106" s="1"/>
  <c r="BI79"/>
  <c r="BI104" s="1"/>
  <c r="BK77"/>
  <c r="BK102" s="1"/>
  <c r="BO75"/>
  <c r="BO100" s="1"/>
  <c r="BY73"/>
  <c r="BY98" s="1"/>
  <c r="CA71"/>
  <c r="CA96" s="1"/>
  <c r="CA87"/>
  <c r="CA112" s="1"/>
  <c r="CE83"/>
  <c r="CE108" s="1"/>
  <c r="CI81"/>
  <c r="CI106" s="1"/>
  <c r="CK79"/>
  <c r="CK104" s="1"/>
  <c r="CM77"/>
  <c r="CM102" s="1"/>
  <c r="BP88"/>
  <c r="BP113" s="1"/>
  <c r="E85"/>
  <c r="J86"/>
  <c r="J111" s="1"/>
  <c r="L83"/>
  <c r="L108" s="1"/>
  <c r="AF75"/>
  <c r="AF100" s="1"/>
  <c r="BT75"/>
  <c r="BT100" s="1"/>
  <c r="CN75"/>
  <c r="CN100" s="1"/>
  <c r="Z76"/>
  <c r="Z101" s="1"/>
  <c r="AJ83"/>
  <c r="AJ108" s="1"/>
  <c r="AN86"/>
  <c r="AN111" s="1"/>
  <c r="AP82"/>
  <c r="AP107" s="1"/>
  <c r="AR77"/>
  <c r="AR102" s="1"/>
  <c r="AR85"/>
  <c r="AR110" s="1"/>
  <c r="AT74"/>
  <c r="AT99" s="1"/>
  <c r="BR84"/>
  <c r="BR109" s="1"/>
  <c r="BP82"/>
  <c r="BP107" s="1"/>
  <c r="AV72"/>
  <c r="AV97" s="1"/>
  <c r="AZ82"/>
  <c r="AZ107" s="1"/>
  <c r="AZ85"/>
  <c r="AZ110" s="1"/>
  <c r="AX79"/>
  <c r="AX104" s="1"/>
  <c r="BF72"/>
  <c r="BF97" s="1"/>
  <c r="BF88"/>
  <c r="BF113" s="1"/>
  <c r="BH86"/>
  <c r="BH111" s="1"/>
  <c r="AH79"/>
  <c r="AH104" s="1"/>
  <c r="BJ84"/>
  <c r="BJ109" s="1"/>
  <c r="BN80"/>
  <c r="BN105" s="1"/>
  <c r="BV78"/>
  <c r="BV103" s="1"/>
  <c r="CB82"/>
  <c r="CB107" s="1"/>
  <c r="CD74"/>
  <c r="CD99" s="1"/>
  <c r="BZ72"/>
  <c r="BZ97" s="1"/>
  <c r="BZ88"/>
  <c r="BZ113" s="1"/>
  <c r="CH86"/>
  <c r="CH111" s="1"/>
  <c r="CJ84"/>
  <c r="CJ109" s="1"/>
  <c r="CL82"/>
  <c r="CL107" s="1"/>
  <c r="BX80"/>
  <c r="BX105" s="1"/>
  <c r="I76"/>
  <c r="I101" s="1"/>
  <c r="K82"/>
  <c r="K107" s="1"/>
  <c r="O80"/>
  <c r="O105" s="1"/>
  <c r="S78"/>
  <c r="S103" s="1"/>
  <c r="U76"/>
  <c r="U101" s="1"/>
  <c r="CO74"/>
  <c r="CO99" s="1"/>
  <c r="CQ72"/>
  <c r="CQ97" s="1"/>
  <c r="CQ88"/>
  <c r="CQ113" s="1"/>
  <c r="CS86"/>
  <c r="CS111" s="1"/>
  <c r="BQ84"/>
  <c r="BQ109" s="1"/>
  <c r="M78"/>
  <c r="M103" s="1"/>
  <c r="Q80"/>
  <c r="Q105" s="1"/>
  <c r="AG78"/>
  <c r="AG103" s="1"/>
  <c r="AM76"/>
  <c r="AM101" s="1"/>
  <c r="CG74"/>
  <c r="CG99" s="1"/>
  <c r="Y72"/>
  <c r="Y97" s="1"/>
  <c r="Y88"/>
  <c r="Y113" s="1"/>
  <c r="W74"/>
  <c r="W99" s="1"/>
  <c r="BE84"/>
  <c r="BE109" s="1"/>
  <c r="BM82"/>
  <c r="BM107" s="1"/>
  <c r="AA80"/>
  <c r="AA105" s="1"/>
  <c r="AC78"/>
  <c r="AC103" s="1"/>
  <c r="AE76"/>
  <c r="AE101" s="1"/>
  <c r="AI74"/>
  <c r="AI99" s="1"/>
  <c r="AK88"/>
  <c r="AK113" s="1"/>
  <c r="AK72"/>
  <c r="AK97" s="1"/>
  <c r="BU86"/>
  <c r="BU111" s="1"/>
  <c r="BW84"/>
  <c r="BW109" s="1"/>
  <c r="AU78"/>
  <c r="AU103" s="1"/>
  <c r="BS80"/>
  <c r="BS105" s="1"/>
  <c r="AO78"/>
  <c r="AO103" s="1"/>
  <c r="AQ76"/>
  <c r="AQ101" s="1"/>
  <c r="AS74"/>
  <c r="AS99" s="1"/>
  <c r="AW72"/>
  <c r="AW97" s="1"/>
  <c r="AW88"/>
  <c r="AW113" s="1"/>
  <c r="AY86"/>
  <c r="AY111" s="1"/>
  <c r="BA84"/>
  <c r="BA109" s="1"/>
  <c r="BC82"/>
  <c r="BC107" s="1"/>
  <c r="BG80"/>
  <c r="BG105" s="1"/>
  <c r="BI78"/>
  <c r="BI103" s="1"/>
  <c r="BK76"/>
  <c r="BK101" s="1"/>
  <c r="BO74"/>
  <c r="BO99" s="1"/>
  <c r="BY72"/>
  <c r="BY97" s="1"/>
  <c r="BY88"/>
  <c r="BY113" s="1"/>
  <c r="CA86"/>
  <c r="CA111" s="1"/>
  <c r="CC84"/>
  <c r="CC109" s="1"/>
  <c r="CE82"/>
  <c r="CE107" s="1"/>
  <c r="CI80"/>
  <c r="CI105" s="1"/>
  <c r="CK78"/>
  <c r="CK103" s="1"/>
  <c r="CM76"/>
  <c r="CM101" s="1"/>
  <c r="J88"/>
  <c r="J113" s="1"/>
  <c r="L84"/>
  <c r="L109" s="1"/>
  <c r="AF72"/>
  <c r="AF97" s="1"/>
  <c r="CF84"/>
  <c r="CF109" s="1"/>
  <c r="T88"/>
  <c r="T113" s="1"/>
  <c r="Z77"/>
  <c r="Z102" s="1"/>
  <c r="AJ84"/>
  <c r="AJ109" s="1"/>
  <c r="AN80"/>
  <c r="AN105" s="1"/>
  <c r="AP81"/>
  <c r="AP106" s="1"/>
  <c r="AR71"/>
  <c r="AR96" s="1"/>
  <c r="AR79"/>
  <c r="AR104" s="1"/>
  <c r="AT75"/>
  <c r="AT100" s="1"/>
  <c r="BR83"/>
  <c r="BR108" s="1"/>
  <c r="BP81"/>
  <c r="BP106" s="1"/>
  <c r="AV88"/>
  <c r="AV113" s="1"/>
  <c r="BB82"/>
  <c r="BB107" s="1"/>
  <c r="AZ79"/>
  <c r="AZ104" s="1"/>
  <c r="AX77"/>
  <c r="AX102" s="1"/>
  <c r="BF71"/>
  <c r="BF96" s="1"/>
  <c r="BF87"/>
  <c r="BF112" s="1"/>
  <c r="BH85"/>
  <c r="BH110" s="1"/>
  <c r="AH73"/>
  <c r="AH98" s="1"/>
  <c r="BJ83"/>
  <c r="BJ108" s="1"/>
  <c r="BN79"/>
  <c r="BN104" s="1"/>
  <c r="BV77"/>
  <c r="BV102" s="1"/>
  <c r="CB81"/>
  <c r="CB106" s="1"/>
  <c r="CD73"/>
  <c r="CD98" s="1"/>
  <c r="BZ71"/>
  <c r="BZ96" s="1"/>
  <c r="BZ87"/>
  <c r="BZ112" s="1"/>
  <c r="CH85"/>
  <c r="CH110" s="1"/>
  <c r="CJ83"/>
  <c r="CJ108" s="1"/>
  <c r="CL81"/>
  <c r="CL106" s="1"/>
  <c r="BX79"/>
  <c r="BX104" s="1"/>
  <c r="I77"/>
  <c r="I102" s="1"/>
  <c r="K81"/>
  <c r="K106" s="1"/>
  <c r="O79"/>
  <c r="O104" s="1"/>
  <c r="S77"/>
  <c r="S102" s="1"/>
  <c r="U75"/>
  <c r="U100" s="1"/>
  <c r="CO73"/>
  <c r="CO98" s="1"/>
  <c r="CQ71"/>
  <c r="CQ96" s="1"/>
  <c r="CQ87"/>
  <c r="CQ112" s="1"/>
  <c r="CS85"/>
  <c r="CS110" s="1"/>
  <c r="BQ83"/>
  <c r="BQ108" s="1"/>
  <c r="M79"/>
  <c r="M104" s="1"/>
  <c r="Q79"/>
  <c r="Q104" s="1"/>
  <c r="AG77"/>
  <c r="AG102" s="1"/>
  <c r="AM75"/>
  <c r="AM100" s="1"/>
  <c r="CG73"/>
  <c r="CG98" s="1"/>
  <c r="Y71"/>
  <c r="Y96" s="1"/>
  <c r="Y87"/>
  <c r="Y112" s="1"/>
  <c r="W75"/>
  <c r="W100" s="1"/>
  <c r="BE83"/>
  <c r="BE108" s="1"/>
  <c r="BM81"/>
  <c r="BM106" s="1"/>
  <c r="AA79"/>
  <c r="AA104" s="1"/>
  <c r="AC77"/>
  <c r="AC102" s="1"/>
  <c r="AE75"/>
  <c r="AE100" s="1"/>
  <c r="AI73"/>
  <c r="AI98" s="1"/>
  <c r="AK71"/>
  <c r="AK96" s="1"/>
  <c r="AK73"/>
  <c r="AK98" s="1"/>
  <c r="BU85"/>
  <c r="BU110" s="1"/>
  <c r="BW83"/>
  <c r="BW108" s="1"/>
  <c r="AU79"/>
  <c r="AU104" s="1"/>
  <c r="BS79"/>
  <c r="BS104" s="1"/>
  <c r="AO77"/>
  <c r="AO102" s="1"/>
  <c r="AQ75"/>
  <c r="AQ100" s="1"/>
  <c r="AS73"/>
  <c r="AS98" s="1"/>
  <c r="AW71"/>
  <c r="AW96" s="1"/>
  <c r="AW87"/>
  <c r="AW112" s="1"/>
  <c r="AY85"/>
  <c r="AY110" s="1"/>
  <c r="BA83"/>
  <c r="BA108" s="1"/>
  <c r="BC81"/>
  <c r="BC106" s="1"/>
  <c r="BG79"/>
  <c r="BG104" s="1"/>
  <c r="BI77"/>
  <c r="BI102" s="1"/>
  <c r="BK75"/>
  <c r="BK100" s="1"/>
  <c r="BO73"/>
  <c r="BO98" s="1"/>
  <c r="BY71"/>
  <c r="BY96" s="1"/>
  <c r="BY87"/>
  <c r="BY112" s="1"/>
  <c r="CA85"/>
  <c r="CA110" s="1"/>
  <c r="CC83"/>
  <c r="CC108" s="1"/>
  <c r="CE81"/>
  <c r="CE106" s="1"/>
  <c r="CI79"/>
  <c r="CI104" s="1"/>
  <c r="CK77"/>
  <c r="CK102" s="1"/>
  <c r="CM75"/>
  <c r="CM100" s="1"/>
  <c r="AF71"/>
  <c r="AF96" s="1"/>
  <c r="AN74"/>
  <c r="AN99" s="1"/>
  <c r="AP86"/>
  <c r="AP111" s="1"/>
  <c r="AR73"/>
  <c r="AR98" s="1"/>
  <c r="AT76"/>
  <c r="AT101" s="1"/>
  <c r="BR82"/>
  <c r="BR107" s="1"/>
  <c r="BP80"/>
  <c r="BP105" s="1"/>
  <c r="AV87"/>
  <c r="AV112" s="1"/>
  <c r="AX87"/>
  <c r="AX112" s="1"/>
  <c r="AZ73"/>
  <c r="AZ98" s="1"/>
  <c r="AX73"/>
  <c r="AX98" s="1"/>
  <c r="BB86"/>
  <c r="BB111" s="1"/>
  <c r="BF86"/>
  <c r="BF111" s="1"/>
  <c r="BH84"/>
  <c r="BH109" s="1"/>
  <c r="AH72"/>
  <c r="AH97" s="1"/>
  <c r="BJ78"/>
  <c r="BJ103" s="1"/>
  <c r="BN78"/>
  <c r="BN103" s="1"/>
  <c r="BV76"/>
  <c r="BV101" s="1"/>
  <c r="CB79"/>
  <c r="CB104" s="1"/>
  <c r="CD72"/>
  <c r="CD97" s="1"/>
  <c r="CD88"/>
  <c r="CD113" s="1"/>
  <c r="BZ86"/>
  <c r="BZ111" s="1"/>
  <c r="CH84"/>
  <c r="CH109" s="1"/>
  <c r="CJ82"/>
  <c r="CJ107" s="1"/>
  <c r="CL80"/>
  <c r="CL105" s="1"/>
  <c r="BX78"/>
  <c r="BX103" s="1"/>
  <c r="I78"/>
  <c r="I103" s="1"/>
  <c r="K80"/>
  <c r="K105" s="1"/>
  <c r="O78"/>
  <c r="O103" s="1"/>
  <c r="S76"/>
  <c r="S101" s="1"/>
  <c r="U74"/>
  <c r="U99" s="1"/>
  <c r="CO72"/>
  <c r="CO97" s="1"/>
  <c r="CO88"/>
  <c r="CO113" s="1"/>
  <c r="CQ86"/>
  <c r="CQ111" s="1"/>
  <c r="CS84"/>
  <c r="CS109" s="1"/>
  <c r="BQ82"/>
  <c r="BQ107" s="1"/>
  <c r="M80"/>
  <c r="M105" s="1"/>
  <c r="Q78"/>
  <c r="Q103" s="1"/>
  <c r="AG76"/>
  <c r="AG101" s="1"/>
  <c r="AM74"/>
  <c r="AM99" s="1"/>
  <c r="CG72"/>
  <c r="CG97" s="1"/>
  <c r="CG88"/>
  <c r="CG113" s="1"/>
  <c r="Y86"/>
  <c r="Y111" s="1"/>
  <c r="W76"/>
  <c r="W101" s="1"/>
  <c r="BE82"/>
  <c r="BE107" s="1"/>
  <c r="BM80"/>
  <c r="BM105" s="1"/>
  <c r="AA78"/>
  <c r="AA103" s="1"/>
  <c r="AC76"/>
  <c r="AC101" s="1"/>
  <c r="AE74"/>
  <c r="AE99" s="1"/>
  <c r="AI72"/>
  <c r="AI97" s="1"/>
  <c r="AI88"/>
  <c r="AI113" s="1"/>
  <c r="AK74"/>
  <c r="AK99" s="1"/>
  <c r="BU84"/>
  <c r="BU109" s="1"/>
  <c r="BW82"/>
  <c r="BW107" s="1"/>
  <c r="AU80"/>
  <c r="AU105" s="1"/>
  <c r="BS78"/>
  <c r="BS103" s="1"/>
  <c r="AO76"/>
  <c r="AO101" s="1"/>
  <c r="AQ74"/>
  <c r="AQ99" s="1"/>
  <c r="AS72"/>
  <c r="AS97" s="1"/>
  <c r="AS88"/>
  <c r="AS113" s="1"/>
  <c r="AW86"/>
  <c r="AW111" s="1"/>
  <c r="AY84"/>
  <c r="AY109" s="1"/>
  <c r="BA82"/>
  <c r="BA107" s="1"/>
  <c r="BC80"/>
  <c r="BC105" s="1"/>
  <c r="BG78"/>
  <c r="BG103" s="1"/>
  <c r="BI76"/>
  <c r="BI101" s="1"/>
  <c r="BK74"/>
  <c r="BK99" s="1"/>
  <c r="BO72"/>
  <c r="BO97" s="1"/>
  <c r="BO88"/>
  <c r="BO113" s="1"/>
  <c r="BY86"/>
  <c r="BY111" s="1"/>
  <c r="CA84"/>
  <c r="CA109" s="1"/>
  <c r="CC82"/>
  <c r="CC107" s="1"/>
  <c r="CE80"/>
  <c r="CE105" s="1"/>
  <c r="CI78"/>
  <c r="CI103" s="1"/>
  <c r="CK76"/>
  <c r="CK101" s="1"/>
  <c r="CM74"/>
  <c r="CM99" s="1"/>
  <c r="CO80"/>
  <c r="CO105" s="1"/>
  <c r="H77"/>
  <c r="H102" s="1"/>
  <c r="L86"/>
  <c r="L111" s="1"/>
  <c r="X88"/>
  <c r="X113" s="1"/>
  <c r="T77"/>
  <c r="T102" s="1"/>
  <c r="CR88"/>
  <c r="CR113" s="1"/>
  <c r="AJ86"/>
  <c r="AJ111" s="1"/>
  <c r="AP80"/>
  <c r="AP105" s="1"/>
  <c r="AR88"/>
  <c r="AR113" s="1"/>
  <c r="AT77"/>
  <c r="AT102" s="1"/>
  <c r="BR81"/>
  <c r="BR106" s="1"/>
  <c r="BP79"/>
  <c r="BP104" s="1"/>
  <c r="AV83"/>
  <c r="AV108" s="1"/>
  <c r="AZ87"/>
  <c r="AZ112" s="1"/>
  <c r="AX86"/>
  <c r="AX111" s="1"/>
  <c r="AX71"/>
  <c r="AX96" s="1"/>
  <c r="BB84"/>
  <c r="BB109" s="1"/>
  <c r="BF85"/>
  <c r="BF110" s="1"/>
  <c r="BH83"/>
  <c r="BH108" s="1"/>
  <c r="AH78"/>
  <c r="AH103" s="1"/>
  <c r="BJ77"/>
  <c r="BJ102" s="1"/>
  <c r="BN77"/>
  <c r="BN102" s="1"/>
  <c r="BV75"/>
  <c r="BV100" s="1"/>
  <c r="CB76"/>
  <c r="CB101" s="1"/>
  <c r="CD71"/>
  <c r="CD96" s="1"/>
  <c r="CD87"/>
  <c r="CD112" s="1"/>
  <c r="BZ85"/>
  <c r="BZ110" s="1"/>
  <c r="CH83"/>
  <c r="CH108" s="1"/>
  <c r="CJ81"/>
  <c r="CJ106" s="1"/>
  <c r="CL79"/>
  <c r="CL104" s="1"/>
  <c r="BX77"/>
  <c r="BX102" s="1"/>
  <c r="I79"/>
  <c r="I104" s="1"/>
  <c r="K79"/>
  <c r="K104" s="1"/>
  <c r="O77"/>
  <c r="O102" s="1"/>
  <c r="S75"/>
  <c r="S100" s="1"/>
  <c r="U73"/>
  <c r="U98" s="1"/>
  <c r="CO71"/>
  <c r="CO96" s="1"/>
  <c r="CO87"/>
  <c r="CO112" s="1"/>
  <c r="CQ85"/>
  <c r="CQ110" s="1"/>
  <c r="CS83"/>
  <c r="CS108" s="1"/>
  <c r="BQ81"/>
  <c r="BQ106" s="1"/>
  <c r="M81"/>
  <c r="M106" s="1"/>
  <c r="Q77"/>
  <c r="Q102" s="1"/>
  <c r="AG75"/>
  <c r="AG100" s="1"/>
  <c r="AM73"/>
  <c r="AM98" s="1"/>
  <c r="CG71"/>
  <c r="CG96" s="1"/>
  <c r="CG87"/>
  <c r="CG112" s="1"/>
  <c r="Y85"/>
  <c r="Y110" s="1"/>
  <c r="W77"/>
  <c r="W102" s="1"/>
  <c r="BE81"/>
  <c r="BE106" s="1"/>
  <c r="BM79"/>
  <c r="BM104" s="1"/>
  <c r="AA77"/>
  <c r="AA102" s="1"/>
  <c r="AC75"/>
  <c r="AC100" s="1"/>
  <c r="AE73"/>
  <c r="AE98" s="1"/>
  <c r="AI71"/>
  <c r="AI96" s="1"/>
  <c r="AI87"/>
  <c r="AI112" s="1"/>
  <c r="AK75"/>
  <c r="AK100" s="1"/>
  <c r="BU83"/>
  <c r="BU108" s="1"/>
  <c r="BW81"/>
  <c r="BW106" s="1"/>
  <c r="AU81"/>
  <c r="AU106" s="1"/>
  <c r="BS77"/>
  <c r="BS102" s="1"/>
  <c r="AO75"/>
  <c r="AO100" s="1"/>
  <c r="AQ73"/>
  <c r="AQ98" s="1"/>
  <c r="AS71"/>
  <c r="AS96" s="1"/>
  <c r="AS87"/>
  <c r="AS112" s="1"/>
  <c r="AW85"/>
  <c r="AW110" s="1"/>
  <c r="AY83"/>
  <c r="AY108" s="1"/>
  <c r="BA81"/>
  <c r="BA106" s="1"/>
  <c r="BC79"/>
  <c r="BC104" s="1"/>
  <c r="BG77"/>
  <c r="BG102" s="1"/>
  <c r="BI75"/>
  <c r="BI100" s="1"/>
  <c r="BK73"/>
  <c r="BK98" s="1"/>
  <c r="BO71"/>
  <c r="BO96" s="1"/>
  <c r="BO87"/>
  <c r="BO112" s="1"/>
  <c r="BY85"/>
  <c r="BY110" s="1"/>
  <c r="CA83"/>
  <c r="CA108" s="1"/>
  <c r="CC81"/>
  <c r="CC106" s="1"/>
  <c r="CE79"/>
  <c r="CE104" s="1"/>
  <c r="CI77"/>
  <c r="CI102" s="1"/>
  <c r="CK75"/>
  <c r="CK100" s="1"/>
  <c r="CM73"/>
  <c r="CM98" s="1"/>
  <c r="H78"/>
  <c r="H103" s="1"/>
  <c r="L88"/>
  <c r="L113" s="1"/>
  <c r="X86"/>
  <c r="X111" s="1"/>
  <c r="CF75"/>
  <c r="CF100" s="1"/>
  <c r="T76"/>
  <c r="T101" s="1"/>
  <c r="CR86"/>
  <c r="CR111" s="1"/>
  <c r="AJ88"/>
  <c r="AJ113" s="1"/>
  <c r="AN77"/>
  <c r="AN102" s="1"/>
  <c r="AN85"/>
  <c r="AN110" s="1"/>
  <c r="AP74"/>
  <c r="AP99" s="1"/>
  <c r="AR87"/>
  <c r="AR112" s="1"/>
  <c r="AT78"/>
  <c r="AT103" s="1"/>
  <c r="BR80"/>
  <c r="BR105" s="1"/>
  <c r="BP78"/>
  <c r="BP103" s="1"/>
  <c r="AV82"/>
  <c r="AV107" s="1"/>
  <c r="BB87"/>
  <c r="BB112" s="1"/>
  <c r="AX80"/>
  <c r="AX105" s="1"/>
  <c r="BB85"/>
  <c r="BB110" s="1"/>
  <c r="BB80"/>
  <c r="BB105" s="1"/>
  <c r="BF84"/>
  <c r="BF109" s="1"/>
  <c r="BH82"/>
  <c r="BH107" s="1"/>
  <c r="AH84"/>
  <c r="AH109" s="1"/>
  <c r="BJ72"/>
  <c r="BJ97" s="1"/>
  <c r="BN76"/>
  <c r="BN101" s="1"/>
  <c r="BV74"/>
  <c r="BV99" s="1"/>
  <c r="CB75"/>
  <c r="CB100" s="1"/>
  <c r="CB86"/>
  <c r="CB111" s="1"/>
  <c r="CD86"/>
  <c r="CD111" s="1"/>
  <c r="BZ84"/>
  <c r="BZ109" s="1"/>
  <c r="CH82"/>
  <c r="CH107" s="1"/>
  <c r="CJ80"/>
  <c r="CJ105" s="1"/>
  <c r="CL78"/>
  <c r="CL103" s="1"/>
  <c r="BX76"/>
  <c r="BX101" s="1"/>
  <c r="I80"/>
  <c r="I105" s="1"/>
  <c r="K78"/>
  <c r="K103" s="1"/>
  <c r="O76"/>
  <c r="O101" s="1"/>
  <c r="S74"/>
  <c r="S99" s="1"/>
  <c r="U72"/>
  <c r="U97" s="1"/>
  <c r="U88"/>
  <c r="U113" s="1"/>
  <c r="CO86"/>
  <c r="CO111" s="1"/>
  <c r="CQ84"/>
  <c r="CQ109" s="1"/>
  <c r="CS82"/>
  <c r="CS107" s="1"/>
  <c r="BQ80"/>
  <c r="BQ105" s="1"/>
  <c r="M82"/>
  <c r="M107" s="1"/>
  <c r="Q76"/>
  <c r="Q101" s="1"/>
  <c r="AG74"/>
  <c r="AG99" s="1"/>
  <c r="AM72"/>
  <c r="AM97" s="1"/>
  <c r="AM88"/>
  <c r="AM113" s="1"/>
  <c r="CG86"/>
  <c r="CG111" s="1"/>
  <c r="Y84"/>
  <c r="Y109" s="1"/>
  <c r="W78"/>
  <c r="W103" s="1"/>
  <c r="BE80"/>
  <c r="BE105" s="1"/>
  <c r="BM78"/>
  <c r="BM103" s="1"/>
  <c r="AA76"/>
  <c r="AA101" s="1"/>
  <c r="AC74"/>
  <c r="AC99" s="1"/>
  <c r="AE72"/>
  <c r="AE97" s="1"/>
  <c r="AE88"/>
  <c r="AE113" s="1"/>
  <c r="AI86"/>
  <c r="AI111" s="1"/>
  <c r="AK76"/>
  <c r="AK101" s="1"/>
  <c r="BU82"/>
  <c r="BU107" s="1"/>
  <c r="BW80"/>
  <c r="BW105" s="1"/>
  <c r="AU82"/>
  <c r="AU107" s="1"/>
  <c r="BS76"/>
  <c r="BS101" s="1"/>
  <c r="AO74"/>
  <c r="AO99" s="1"/>
  <c r="AQ72"/>
  <c r="AQ97" s="1"/>
  <c r="AQ88"/>
  <c r="AQ113" s="1"/>
  <c r="AS86"/>
  <c r="AS111" s="1"/>
  <c r="AW84"/>
  <c r="AW109" s="1"/>
  <c r="AY82"/>
  <c r="AY107" s="1"/>
  <c r="BA80"/>
  <c r="BA105" s="1"/>
  <c r="BC78"/>
  <c r="BC103" s="1"/>
  <c r="BG76"/>
  <c r="BG101" s="1"/>
  <c r="BI74"/>
  <c r="BI99" s="1"/>
  <c r="BK72"/>
  <c r="BK97" s="1"/>
  <c r="BK88"/>
  <c r="BK113" s="1"/>
  <c r="BO86"/>
  <c r="BO111" s="1"/>
  <c r="BY84"/>
  <c r="BY109" s="1"/>
  <c r="CA82"/>
  <c r="CA107" s="1"/>
  <c r="CC80"/>
  <c r="CC105" s="1"/>
  <c r="CE78"/>
  <c r="CE103" s="1"/>
  <c r="CI76"/>
  <c r="CI101" s="1"/>
  <c r="CK74"/>
  <c r="CK99" s="1"/>
  <c r="CM72"/>
  <c r="CM97" s="1"/>
  <c r="CM88"/>
  <c r="CM113" s="1"/>
  <c r="AI80"/>
  <c r="AI105" s="1"/>
  <c r="H79"/>
  <c r="H104" s="1"/>
  <c r="J75"/>
  <c r="J100" s="1"/>
  <c r="X84"/>
  <c r="X109" s="1"/>
  <c r="AL88"/>
  <c r="AL113" s="1"/>
  <c r="T75"/>
  <c r="T100" s="1"/>
  <c r="CR85"/>
  <c r="CR110" s="1"/>
  <c r="BL88"/>
  <c r="BL113" s="1"/>
  <c r="AN71"/>
  <c r="AN96" s="1"/>
  <c r="AN84"/>
  <c r="AN109" s="1"/>
  <c r="AP85"/>
  <c r="AP110" s="1"/>
  <c r="AR86"/>
  <c r="AR111" s="1"/>
  <c r="AT79"/>
  <c r="AT104" s="1"/>
  <c r="BR79"/>
  <c r="BR104" s="1"/>
  <c r="BP77"/>
  <c r="BP102" s="1"/>
  <c r="AV81"/>
  <c r="AV106" s="1"/>
  <c r="AX88"/>
  <c r="AX113" s="1"/>
  <c r="AX74"/>
  <c r="AX99" s="1"/>
  <c r="BB79"/>
  <c r="BB104" s="1"/>
  <c r="BB78"/>
  <c r="BB103" s="1"/>
  <c r="BF83"/>
  <c r="BF108" s="1"/>
  <c r="BH81"/>
  <c r="BH106" s="1"/>
  <c r="AH87"/>
  <c r="AH112" s="1"/>
  <c r="BJ71"/>
  <c r="BJ96" s="1"/>
  <c r="BN75"/>
  <c r="BN100" s="1"/>
  <c r="BV73"/>
  <c r="BV98" s="1"/>
  <c r="CB73"/>
  <c r="CB98" s="1"/>
  <c r="CB84"/>
  <c r="CB109" s="1"/>
  <c r="CD85"/>
  <c r="CD110" s="1"/>
  <c r="BZ83"/>
  <c r="BZ108" s="1"/>
  <c r="CH81"/>
  <c r="CH106" s="1"/>
  <c r="CJ79"/>
  <c r="CJ104" s="1"/>
  <c r="CL77"/>
  <c r="CL102" s="1"/>
  <c r="BX75"/>
  <c r="BX100" s="1"/>
  <c r="I81"/>
  <c r="I106" s="1"/>
  <c r="K77"/>
  <c r="K102" s="1"/>
  <c r="O75"/>
  <c r="O100" s="1"/>
  <c r="S73"/>
  <c r="S98" s="1"/>
  <c r="U71"/>
  <c r="U96" s="1"/>
  <c r="U87"/>
  <c r="U112" s="1"/>
  <c r="CO85"/>
  <c r="CO110" s="1"/>
  <c r="CQ83"/>
  <c r="CQ108" s="1"/>
  <c r="CS81"/>
  <c r="CS106" s="1"/>
  <c r="BQ79"/>
  <c r="BQ104" s="1"/>
  <c r="M83"/>
  <c r="M108" s="1"/>
  <c r="Q75"/>
  <c r="Q100" s="1"/>
  <c r="AG73"/>
  <c r="AG98" s="1"/>
  <c r="AM71"/>
  <c r="AM96" s="1"/>
  <c r="AM87"/>
  <c r="AM112" s="1"/>
  <c r="CG85"/>
  <c r="CG110" s="1"/>
  <c r="Y83"/>
  <c r="Y108" s="1"/>
  <c r="W79"/>
  <c r="W104" s="1"/>
  <c r="BE79"/>
  <c r="BE104" s="1"/>
  <c r="BM77"/>
  <c r="BM102" s="1"/>
  <c r="AA75"/>
  <c r="AA100" s="1"/>
  <c r="AC73"/>
  <c r="AC98" s="1"/>
  <c r="AE71"/>
  <c r="AE96" s="1"/>
  <c r="AE87"/>
  <c r="AE112" s="1"/>
  <c r="AI85"/>
  <c r="AI110" s="1"/>
  <c r="AK77"/>
  <c r="AK102" s="1"/>
  <c r="BU81"/>
  <c r="BU106" s="1"/>
  <c r="BW79"/>
  <c r="BW104" s="1"/>
  <c r="AU83"/>
  <c r="AU108" s="1"/>
  <c r="BS75"/>
  <c r="BS100" s="1"/>
  <c r="AO73"/>
  <c r="AO98" s="1"/>
  <c r="AQ71"/>
  <c r="AQ96" s="1"/>
  <c r="AQ87"/>
  <c r="AQ112" s="1"/>
  <c r="AS85"/>
  <c r="AS110" s="1"/>
  <c r="AW83"/>
  <c r="AW108" s="1"/>
  <c r="AY81"/>
  <c r="AY106" s="1"/>
  <c r="BA79"/>
  <c r="BA104" s="1"/>
  <c r="BC77"/>
  <c r="BC102" s="1"/>
  <c r="BG75"/>
  <c r="BG100" s="1"/>
  <c r="BI73"/>
  <c r="BI98" s="1"/>
  <c r="BK71"/>
  <c r="BK96" s="1"/>
  <c r="BK87"/>
  <c r="BK112" s="1"/>
  <c r="BO85"/>
  <c r="BO110" s="1"/>
  <c r="BY83"/>
  <c r="BY108" s="1"/>
  <c r="CA81"/>
  <c r="CA106" s="1"/>
  <c r="CC79"/>
  <c r="CC104" s="1"/>
  <c r="CE77"/>
  <c r="CE102" s="1"/>
  <c r="CI75"/>
  <c r="CI100" s="1"/>
  <c r="CK73"/>
  <c r="CK98" s="1"/>
  <c r="CM71"/>
  <c r="CM96" s="1"/>
  <c r="CM87"/>
  <c r="CM112" s="1"/>
  <c r="H80"/>
  <c r="H105" s="1"/>
  <c r="N75"/>
  <c r="N100" s="1"/>
  <c r="X83"/>
  <c r="X108" s="1"/>
  <c r="AL86"/>
  <c r="AL111" s="1"/>
  <c r="R88"/>
  <c r="R113" s="1"/>
  <c r="CR84"/>
  <c r="CR109" s="1"/>
  <c r="BL77"/>
  <c r="BL102" s="1"/>
  <c r="AD85"/>
  <c r="AD110" s="1"/>
  <c r="AN79"/>
  <c r="AN104" s="1"/>
  <c r="AP79"/>
  <c r="AP104" s="1"/>
  <c r="AR82"/>
  <c r="AR107" s="1"/>
  <c r="AT80"/>
  <c r="AT105" s="1"/>
  <c r="BR78"/>
  <c r="BR103" s="1"/>
  <c r="BP76"/>
  <c r="BP101" s="1"/>
  <c r="AV77"/>
  <c r="AV102" s="1"/>
  <c r="AZ88"/>
  <c r="AZ113" s="1"/>
  <c r="AX75"/>
  <c r="AX100" s="1"/>
  <c r="BB73"/>
  <c r="BB98" s="1"/>
  <c r="BB72"/>
  <c r="BB97" s="1"/>
  <c r="BF82"/>
  <c r="BF107" s="1"/>
  <c r="BH80"/>
  <c r="BH105" s="1"/>
  <c r="AH88"/>
  <c r="AH113" s="1"/>
  <c r="BJ87"/>
  <c r="BJ112" s="1"/>
  <c r="BN74"/>
  <c r="BN99" s="1"/>
  <c r="BV72"/>
  <c r="BV97" s="1"/>
  <c r="BV88"/>
  <c r="BV113" s="1"/>
  <c r="CB80"/>
  <c r="CB105" s="1"/>
  <c r="CD84"/>
  <c r="CD109" s="1"/>
  <c r="BZ82"/>
  <c r="BZ107" s="1"/>
  <c r="CH80"/>
  <c r="CH105" s="1"/>
  <c r="CJ78"/>
  <c r="CJ103" s="1"/>
  <c r="CL76"/>
  <c r="CL101" s="1"/>
  <c r="BX73"/>
  <c r="BX98" s="1"/>
  <c r="I82"/>
  <c r="I107" s="1"/>
  <c r="K76"/>
  <c r="K101" s="1"/>
  <c r="O74"/>
  <c r="O99" s="1"/>
  <c r="S72"/>
  <c r="S97" s="1"/>
  <c r="S88"/>
  <c r="S113" s="1"/>
  <c r="U86"/>
  <c r="U111" s="1"/>
  <c r="CO84"/>
  <c r="CO109" s="1"/>
  <c r="CQ82"/>
  <c r="CQ107" s="1"/>
  <c r="CS80"/>
  <c r="CS105" s="1"/>
  <c r="BQ78"/>
  <c r="BQ103" s="1"/>
  <c r="M84"/>
  <c r="M109" s="1"/>
  <c r="Q74"/>
  <c r="Q99" s="1"/>
  <c r="AG72"/>
  <c r="AG97" s="1"/>
  <c r="AG88"/>
  <c r="AG113" s="1"/>
  <c r="AM86"/>
  <c r="AM111" s="1"/>
  <c r="CG84"/>
  <c r="CG109" s="1"/>
  <c r="Y82"/>
  <c r="Y107" s="1"/>
  <c r="W80"/>
  <c r="W105" s="1"/>
  <c r="BE78"/>
  <c r="BE103" s="1"/>
  <c r="BM76"/>
  <c r="BM101" s="1"/>
  <c r="AA74"/>
  <c r="AA99" s="1"/>
  <c r="AC72"/>
  <c r="AC97" s="1"/>
  <c r="AC88"/>
  <c r="AC113" s="1"/>
  <c r="AE86"/>
  <c r="AE111" s="1"/>
  <c r="AI84"/>
  <c r="AI109" s="1"/>
  <c r="AK78"/>
  <c r="AK103" s="1"/>
  <c r="BU80"/>
  <c r="BU105" s="1"/>
  <c r="BW78"/>
  <c r="BW103" s="1"/>
  <c r="AU84"/>
  <c r="AU109" s="1"/>
  <c r="BS74"/>
  <c r="BS99" s="1"/>
  <c r="AO72"/>
  <c r="AO97" s="1"/>
  <c r="AO88"/>
  <c r="AO113" s="1"/>
  <c r="AQ86"/>
  <c r="AQ111" s="1"/>
  <c r="AS84"/>
  <c r="AS109" s="1"/>
  <c r="AW82"/>
  <c r="AW107" s="1"/>
  <c r="AY80"/>
  <c r="AY105" s="1"/>
  <c r="BA78"/>
  <c r="BA103" s="1"/>
  <c r="BC76"/>
  <c r="BC101" s="1"/>
  <c r="BG74"/>
  <c r="BG99" s="1"/>
  <c r="BI72"/>
  <c r="BI97" s="1"/>
  <c r="BI88"/>
  <c r="BI113" s="1"/>
  <c r="BK86"/>
  <c r="BK111" s="1"/>
  <c r="BO84"/>
  <c r="BO109" s="1"/>
  <c r="BY82"/>
  <c r="BY107" s="1"/>
  <c r="CA80"/>
  <c r="CA105" s="1"/>
  <c r="CC78"/>
  <c r="CC103" s="1"/>
  <c r="CE76"/>
  <c r="CE101" s="1"/>
  <c r="CI74"/>
  <c r="CI99" s="1"/>
  <c r="CK72"/>
  <c r="CK97" s="1"/>
  <c r="CK88"/>
  <c r="CK113" s="1"/>
  <c r="CM86"/>
  <c r="CM111" s="1"/>
  <c r="H82"/>
  <c r="H107" s="1"/>
  <c r="J76"/>
  <c r="J101" s="1"/>
  <c r="X73"/>
  <c r="X98" s="1"/>
  <c r="AL85"/>
  <c r="AL110" s="1"/>
  <c r="R83"/>
  <c r="R108" s="1"/>
  <c r="CR83"/>
  <c r="CR108" s="1"/>
  <c r="BL76"/>
  <c r="BL101" s="1"/>
  <c r="AD77"/>
  <c r="AD102" s="1"/>
  <c r="AN78"/>
  <c r="AN103" s="1"/>
  <c r="AP73"/>
  <c r="AP98" s="1"/>
  <c r="AR81"/>
  <c r="AR106" s="1"/>
  <c r="AT81"/>
  <c r="AT106" s="1"/>
  <c r="BR77"/>
  <c r="BR102" s="1"/>
  <c r="BP75"/>
  <c r="BP100" s="1"/>
  <c r="AV76"/>
  <c r="AV101" s="1"/>
  <c r="BB88"/>
  <c r="BB113" s="1"/>
  <c r="AZ75"/>
  <c r="AZ100" s="1"/>
  <c r="AZ86"/>
  <c r="AZ111" s="1"/>
  <c r="BB74"/>
  <c r="BB99" s="1"/>
  <c r="BF81"/>
  <c r="BF106" s="1"/>
  <c r="BH79"/>
  <c r="BH104" s="1"/>
  <c r="AH81"/>
  <c r="AH106" s="1"/>
  <c r="BJ88"/>
  <c r="BJ113" s="1"/>
  <c r="BN73"/>
  <c r="BN98" s="1"/>
  <c r="BV71"/>
  <c r="BV96" s="1"/>
  <c r="BV87"/>
  <c r="BV112" s="1"/>
  <c r="CB78"/>
  <c r="CB103" s="1"/>
  <c r="CD83"/>
  <c r="CD108" s="1"/>
  <c r="BZ81"/>
  <c r="BZ106" s="1"/>
  <c r="CH79"/>
  <c r="CH104" s="1"/>
  <c r="CJ77"/>
  <c r="CJ102" s="1"/>
  <c r="CL75"/>
  <c r="CL100" s="1"/>
  <c r="BX72"/>
  <c r="BX97" s="1"/>
  <c r="I83"/>
  <c r="I108" s="1"/>
  <c r="K75"/>
  <c r="K100" s="1"/>
  <c r="O73"/>
  <c r="O98" s="1"/>
  <c r="S71"/>
  <c r="S96" s="1"/>
  <c r="S87"/>
  <c r="S112" s="1"/>
  <c r="U85"/>
  <c r="U110" s="1"/>
  <c r="CO83"/>
  <c r="CO108" s="1"/>
  <c r="CQ81"/>
  <c r="CQ106" s="1"/>
  <c r="CS79"/>
  <c r="CS104" s="1"/>
  <c r="BQ77"/>
  <c r="BQ102" s="1"/>
  <c r="M85"/>
  <c r="M110" s="1"/>
  <c r="Q73"/>
  <c r="Q98" s="1"/>
  <c r="AG71"/>
  <c r="AG96" s="1"/>
  <c r="AG87"/>
  <c r="AG112" s="1"/>
  <c r="AM85"/>
  <c r="AM110" s="1"/>
  <c r="CG83"/>
  <c r="CG108" s="1"/>
  <c r="Y81"/>
  <c r="Y106" s="1"/>
  <c r="W81"/>
  <c r="W106" s="1"/>
  <c r="BE77"/>
  <c r="BE102" s="1"/>
  <c r="BM75"/>
  <c r="BM100" s="1"/>
  <c r="AA73"/>
  <c r="AA98" s="1"/>
  <c r="AC71"/>
  <c r="AC96" s="1"/>
  <c r="AC87"/>
  <c r="AC112" s="1"/>
  <c r="AE85"/>
  <c r="AE110" s="1"/>
  <c r="AI83"/>
  <c r="AI108" s="1"/>
  <c r="AK79"/>
  <c r="AK104" s="1"/>
  <c r="BU79"/>
  <c r="BU104" s="1"/>
  <c r="BW77"/>
  <c r="BW102" s="1"/>
  <c r="AU85"/>
  <c r="AU110" s="1"/>
  <c r="BS73"/>
  <c r="BS98" s="1"/>
  <c r="AO71"/>
  <c r="AO96" s="1"/>
  <c r="AO87"/>
  <c r="AO112" s="1"/>
  <c r="AQ85"/>
  <c r="AQ110" s="1"/>
  <c r="AS83"/>
  <c r="AS108" s="1"/>
  <c r="AW81"/>
  <c r="AW106" s="1"/>
  <c r="AY79"/>
  <c r="AY104" s="1"/>
  <c r="BA77"/>
  <c r="BA102" s="1"/>
  <c r="BC75"/>
  <c r="BC100" s="1"/>
  <c r="BG73"/>
  <c r="BG98" s="1"/>
  <c r="BI71"/>
  <c r="BI96" s="1"/>
  <c r="BI87"/>
  <c r="BI112" s="1"/>
  <c r="BK85"/>
  <c r="BK110" s="1"/>
  <c r="BO83"/>
  <c r="BO108" s="1"/>
  <c r="BY81"/>
  <c r="BY106" s="1"/>
  <c r="CA79"/>
  <c r="CA104" s="1"/>
  <c r="CC77"/>
  <c r="CC102" s="1"/>
  <c r="CE75"/>
  <c r="CE100" s="1"/>
  <c r="CI73"/>
  <c r="CI98" s="1"/>
  <c r="CK71"/>
  <c r="CK96" s="1"/>
  <c r="CK87"/>
  <c r="CK112" s="1"/>
  <c r="CM85"/>
  <c r="CM110" s="1"/>
  <c r="P88"/>
  <c r="P113" s="1"/>
  <c r="X72"/>
  <c r="X97" s="1"/>
  <c r="AL84"/>
  <c r="AL109" s="1"/>
  <c r="CR71"/>
  <c r="CR96" s="1"/>
  <c r="AN73"/>
  <c r="AN98" s="1"/>
  <c r="AP84"/>
  <c r="AP109" s="1"/>
  <c r="AR80"/>
  <c r="AR105" s="1"/>
  <c r="BR76"/>
  <c r="BR101" s="1"/>
  <c r="BP74"/>
  <c r="BP99" s="1"/>
  <c r="AV75"/>
  <c r="AV100" s="1"/>
  <c r="AV86"/>
  <c r="AV111" s="1"/>
  <c r="BB75"/>
  <c r="BB100" s="1"/>
  <c r="AZ80"/>
  <c r="AZ105" s="1"/>
  <c r="AZ71"/>
  <c r="AZ96" s="1"/>
  <c r="BF80"/>
  <c r="BF105" s="1"/>
  <c r="BH78"/>
  <c r="BH103" s="1"/>
  <c r="AH82"/>
  <c r="AH107" s="1"/>
  <c r="BJ81"/>
  <c r="BJ106" s="1"/>
  <c r="BN72"/>
  <c r="BN97" s="1"/>
  <c r="BN88"/>
  <c r="BN113" s="1"/>
  <c r="BV86"/>
  <c r="BV111" s="1"/>
  <c r="CB74"/>
  <c r="CB99" s="1"/>
  <c r="CD82"/>
  <c r="CD107" s="1"/>
  <c r="BZ80"/>
  <c r="BZ105" s="1"/>
  <c r="CH78"/>
  <c r="CH103" s="1"/>
  <c r="CJ76"/>
  <c r="CJ101" s="1"/>
  <c r="CL74"/>
  <c r="CL99" s="1"/>
  <c r="BX74"/>
  <c r="BX99" s="1"/>
  <c r="BX88"/>
  <c r="BX113" s="1"/>
  <c r="I84"/>
  <c r="I109" s="1"/>
  <c r="K74"/>
  <c r="K99" s="1"/>
  <c r="O72"/>
  <c r="O97" s="1"/>
  <c r="O88"/>
  <c r="O113" s="1"/>
  <c r="S86"/>
  <c r="S111" s="1"/>
  <c r="U84"/>
  <c r="U109" s="1"/>
  <c r="CO82"/>
  <c r="CO107" s="1"/>
  <c r="CQ80"/>
  <c r="CQ105" s="1"/>
  <c r="CS78"/>
  <c r="CS103" s="1"/>
  <c r="BQ76"/>
  <c r="BQ101" s="1"/>
  <c r="M86"/>
  <c r="M111" s="1"/>
  <c r="Q72"/>
  <c r="Q97" s="1"/>
  <c r="Q88"/>
  <c r="Q113" s="1"/>
  <c r="AG86"/>
  <c r="AG111" s="1"/>
  <c r="AM84"/>
  <c r="AM109" s="1"/>
  <c r="CG82"/>
  <c r="CG107" s="1"/>
  <c r="Y80"/>
  <c r="Y105" s="1"/>
  <c r="W82"/>
  <c r="W107" s="1"/>
  <c r="BE76"/>
  <c r="BE101" s="1"/>
  <c r="BM74"/>
  <c r="BM99" s="1"/>
  <c r="AA72"/>
  <c r="AA97" s="1"/>
  <c r="AA88"/>
  <c r="AA113" s="1"/>
  <c r="AC86"/>
  <c r="AC111" s="1"/>
  <c r="AE84"/>
  <c r="AE109" s="1"/>
  <c r="AI82"/>
  <c r="AI107" s="1"/>
  <c r="AK80"/>
  <c r="AK105" s="1"/>
  <c r="BU78"/>
  <c r="BU103" s="1"/>
  <c r="BW76"/>
  <c r="BW101" s="1"/>
  <c r="AU86"/>
  <c r="AU111" s="1"/>
  <c r="BS72"/>
  <c r="BS97" s="1"/>
  <c r="BS88"/>
  <c r="BS113" s="1"/>
  <c r="AO86"/>
  <c r="AO111" s="1"/>
  <c r="AQ84"/>
  <c r="AQ109" s="1"/>
  <c r="AS82"/>
  <c r="AS107" s="1"/>
  <c r="AW80"/>
  <c r="AW105" s="1"/>
  <c r="AY78"/>
  <c r="AY103" s="1"/>
  <c r="BA76"/>
  <c r="BA101" s="1"/>
  <c r="BC74"/>
  <c r="BC99" s="1"/>
  <c r="BG72"/>
  <c r="BG97" s="1"/>
  <c r="BG88"/>
  <c r="BG113" s="1"/>
  <c r="BI86"/>
  <c r="BI111" s="1"/>
  <c r="BK84"/>
  <c r="BK109" s="1"/>
  <c r="BY80"/>
  <c r="BY105" s="1"/>
  <c r="CL88"/>
  <c r="CL113" s="1"/>
  <c r="CG80"/>
  <c r="CG105" s="1"/>
  <c r="J77"/>
  <c r="J102" s="1"/>
  <c r="X71"/>
  <c r="X96" s="1"/>
  <c r="CP88"/>
  <c r="CP113" s="1"/>
  <c r="AN72"/>
  <c r="AN97" s="1"/>
  <c r="BP73"/>
  <c r="BP98" s="1"/>
  <c r="AV71"/>
  <c r="AV96" s="1"/>
  <c r="AV85"/>
  <c r="AV110" s="1"/>
  <c r="AX76"/>
  <c r="AX101" s="1"/>
  <c r="AZ74"/>
  <c r="AZ99" s="1"/>
  <c r="AZ72"/>
  <c r="AZ97" s="1"/>
  <c r="BF79"/>
  <c r="BF104" s="1"/>
  <c r="BH77"/>
  <c r="BH102" s="1"/>
  <c r="AH75"/>
  <c r="AH100" s="1"/>
  <c r="BJ82"/>
  <c r="BJ107" s="1"/>
  <c r="BN71"/>
  <c r="BN96" s="1"/>
  <c r="BN87"/>
  <c r="BN112" s="1"/>
  <c r="BV85"/>
  <c r="BV110" s="1"/>
  <c r="CB72"/>
  <c r="CB97" s="1"/>
  <c r="CD81"/>
  <c r="CD106" s="1"/>
  <c r="BZ79"/>
  <c r="BZ104" s="1"/>
  <c r="CJ75"/>
  <c r="CJ100" s="1"/>
  <c r="CL73"/>
  <c r="CL98" s="1"/>
  <c r="BX71"/>
  <c r="BX96" s="1"/>
  <c r="BX87"/>
  <c r="BX112" s="1"/>
  <c r="I85"/>
  <c r="I110" s="1"/>
  <c r="K73"/>
  <c r="K98" s="1"/>
  <c r="O71"/>
  <c r="O96" s="1"/>
  <c r="O87"/>
  <c r="O112" s="1"/>
  <c r="S85"/>
  <c r="S110" s="1"/>
  <c r="U83"/>
  <c r="U108" s="1"/>
  <c r="CO81"/>
  <c r="CO106" s="1"/>
  <c r="CQ79"/>
  <c r="CQ104" s="1"/>
  <c r="CS77"/>
  <c r="CS102" s="1"/>
  <c r="BQ75"/>
  <c r="BQ100" s="1"/>
  <c r="M87"/>
  <c r="M112" s="1"/>
  <c r="Q71"/>
  <c r="Q96" s="1"/>
  <c r="Q87"/>
  <c r="Q112" s="1"/>
  <c r="AG85"/>
  <c r="AG110" s="1"/>
  <c r="AM83"/>
  <c r="AM108" s="1"/>
  <c r="CG81"/>
  <c r="CG106" s="1"/>
  <c r="Y79"/>
  <c r="Y104" s="1"/>
  <c r="W83"/>
  <c r="W108" s="1"/>
  <c r="BE75"/>
  <c r="BE100" s="1"/>
  <c r="BM73"/>
  <c r="BM98" s="1"/>
  <c r="AA71"/>
  <c r="AA96" s="1"/>
  <c r="AA87"/>
  <c r="AA112" s="1"/>
  <c r="AC85"/>
  <c r="AC110" s="1"/>
  <c r="AE83"/>
  <c r="AE108" s="1"/>
  <c r="AI81"/>
  <c r="AI106" s="1"/>
  <c r="AK81"/>
  <c r="AK106" s="1"/>
  <c r="BU77"/>
  <c r="BU102" s="1"/>
  <c r="BW75"/>
  <c r="BW100" s="1"/>
  <c r="AU87"/>
  <c r="AU112" s="1"/>
  <c r="BS71"/>
  <c r="BS96" s="1"/>
  <c r="BS87"/>
  <c r="BS112" s="1"/>
  <c r="AO85"/>
  <c r="AO110" s="1"/>
  <c r="AQ83"/>
  <c r="AQ108" s="1"/>
  <c r="AS81"/>
  <c r="AS106" s="1"/>
  <c r="AW79"/>
  <c r="AW104" s="1"/>
  <c r="AY77"/>
  <c r="AY102" s="1"/>
  <c r="BA75"/>
  <c r="BA100" s="1"/>
  <c r="BC73"/>
  <c r="BC98" s="1"/>
  <c r="BG71"/>
  <c r="BG96" s="1"/>
  <c r="BG87"/>
  <c r="BG112" s="1"/>
  <c r="BI85"/>
  <c r="BI110" s="1"/>
  <c r="BK83"/>
  <c r="BK108" s="1"/>
  <c r="CK85"/>
  <c r="CK110" s="1"/>
  <c r="X74"/>
  <c r="X99" s="1"/>
  <c r="R80"/>
  <c r="R105" s="1"/>
  <c r="CP74"/>
  <c r="CP99" s="1"/>
  <c r="CR72"/>
  <c r="CR97" s="1"/>
  <c r="Z74"/>
  <c r="Z99" s="1"/>
  <c r="BL80"/>
  <c r="BL105" s="1"/>
  <c r="E87"/>
  <c r="AF87"/>
  <c r="AF112" s="1"/>
  <c r="BT81"/>
  <c r="BT106" s="1"/>
  <c r="CP73"/>
  <c r="CP98" s="1"/>
  <c r="CR87"/>
  <c r="CR112" s="1"/>
  <c r="BD81"/>
  <c r="BD106" s="1"/>
  <c r="BL79"/>
  <c r="BL104" s="1"/>
  <c r="P74"/>
  <c r="P99" s="1"/>
  <c r="BT80"/>
  <c r="BT105" s="1"/>
  <c r="CN74"/>
  <c r="CN99" s="1"/>
  <c r="CP72"/>
  <c r="CP97" s="1"/>
  <c r="V78"/>
  <c r="V103" s="1"/>
  <c r="BD80"/>
  <c r="BD105" s="1"/>
  <c r="BL78"/>
  <c r="BL103" s="1"/>
  <c r="AB78"/>
  <c r="AB103" s="1"/>
  <c r="AD86"/>
  <c r="AD111" s="1"/>
  <c r="P73"/>
  <c r="P98" s="1"/>
  <c r="X87"/>
  <c r="X112" s="1"/>
  <c r="CF81"/>
  <c r="CF106" s="1"/>
  <c r="BT79"/>
  <c r="BT104" s="1"/>
  <c r="CN73"/>
  <c r="CN98" s="1"/>
  <c r="CP87"/>
  <c r="CP112" s="1"/>
  <c r="V79"/>
  <c r="V104" s="1"/>
  <c r="BD79"/>
  <c r="BD104" s="1"/>
  <c r="L87"/>
  <c r="L112" s="1"/>
  <c r="CF80"/>
  <c r="CF105" s="1"/>
  <c r="T74"/>
  <c r="T99" s="1"/>
  <c r="CN72"/>
  <c r="CN97" s="1"/>
  <c r="V80"/>
  <c r="V105" s="1"/>
  <c r="AB72"/>
  <c r="AB97" s="1"/>
  <c r="AD80"/>
  <c r="AD105" s="1"/>
  <c r="E72"/>
  <c r="E79"/>
  <c r="H81"/>
  <c r="H106" s="1"/>
  <c r="N77"/>
  <c r="N102" s="1"/>
  <c r="P71"/>
  <c r="P96" s="1"/>
  <c r="P87"/>
  <c r="P112" s="1"/>
  <c r="X85"/>
  <c r="X110" s="1"/>
  <c r="AL81"/>
  <c r="AL106" s="1"/>
  <c r="CF79"/>
  <c r="CF104" s="1"/>
  <c r="BT77"/>
  <c r="BT102" s="1"/>
  <c r="T73"/>
  <c r="T98" s="1"/>
  <c r="CN71"/>
  <c r="CN96" s="1"/>
  <c r="CN87"/>
  <c r="CN112" s="1"/>
  <c r="CP85"/>
  <c r="CP110" s="1"/>
  <c r="Z79"/>
  <c r="Z104" s="1"/>
  <c r="V81"/>
  <c r="V106" s="1"/>
  <c r="BD77"/>
  <c r="BD102" s="1"/>
  <c r="AJ87"/>
  <c r="AJ112" s="1"/>
  <c r="AB71"/>
  <c r="AB96" s="1"/>
  <c r="AB87"/>
  <c r="AB112" s="1"/>
  <c r="AD79"/>
  <c r="AD104" s="1"/>
  <c r="J78"/>
  <c r="J103" s="1"/>
  <c r="L72"/>
  <c r="L97" s="1"/>
  <c r="L73"/>
  <c r="L98" s="1"/>
  <c r="P86"/>
  <c r="P111" s="1"/>
  <c r="AF82"/>
  <c r="AF107" s="1"/>
  <c r="AL80"/>
  <c r="AL105" s="1"/>
  <c r="CF78"/>
  <c r="CF103" s="1"/>
  <c r="BT76"/>
  <c r="BT101" s="1"/>
  <c r="R74"/>
  <c r="R99" s="1"/>
  <c r="T72"/>
  <c r="T97" s="1"/>
  <c r="CN86"/>
  <c r="CN111" s="1"/>
  <c r="CP84"/>
  <c r="CP109" s="1"/>
  <c r="CR82"/>
  <c r="CR107" s="1"/>
  <c r="Z80"/>
  <c r="Z105" s="1"/>
  <c r="V82"/>
  <c r="V107" s="1"/>
  <c r="BD76"/>
  <c r="BD101" s="1"/>
  <c r="BL74"/>
  <c r="BL99" s="1"/>
  <c r="AJ72"/>
  <c r="AJ97" s="1"/>
  <c r="AB86"/>
  <c r="AB111" s="1"/>
  <c r="AD74"/>
  <c r="AD99" s="1"/>
  <c r="E78"/>
  <c r="N86"/>
  <c r="N111" s="1"/>
  <c r="N78"/>
  <c r="N103" s="1"/>
  <c r="L71"/>
  <c r="L96" s="1"/>
  <c r="L74"/>
  <c r="L99" s="1"/>
  <c r="P85"/>
  <c r="P110" s="1"/>
  <c r="AF81"/>
  <c r="AF106" s="1"/>
  <c r="AL79"/>
  <c r="AL104" s="1"/>
  <c r="CF77"/>
  <c r="CF102" s="1"/>
  <c r="R73"/>
  <c r="R98" s="1"/>
  <c r="T71"/>
  <c r="T96" s="1"/>
  <c r="T87"/>
  <c r="T112" s="1"/>
  <c r="CN85"/>
  <c r="CN110" s="1"/>
  <c r="CR81"/>
  <c r="CR106" s="1"/>
  <c r="Z81"/>
  <c r="Z106" s="1"/>
  <c r="BL73"/>
  <c r="BL98" s="1"/>
  <c r="AJ71"/>
  <c r="AJ96" s="1"/>
  <c r="AJ73"/>
  <c r="AJ98" s="1"/>
  <c r="AB82"/>
  <c r="AB107" s="1"/>
  <c r="AD73"/>
  <c r="AD98" s="1"/>
  <c r="H84"/>
  <c r="H109" s="1"/>
  <c r="J87"/>
  <c r="J112" s="1"/>
  <c r="J79"/>
  <c r="J104" s="1"/>
  <c r="J71"/>
  <c r="J96" s="1"/>
  <c r="P84"/>
  <c r="P109" s="1"/>
  <c r="X82"/>
  <c r="X107" s="1"/>
  <c r="AF80"/>
  <c r="AF105" s="1"/>
  <c r="AL78"/>
  <c r="AL103" s="1"/>
  <c r="CF76"/>
  <c r="CF101" s="1"/>
  <c r="BT74"/>
  <c r="BT99" s="1"/>
  <c r="R72"/>
  <c r="R97" s="1"/>
  <c r="T86"/>
  <c r="T111" s="1"/>
  <c r="CN84"/>
  <c r="CN109" s="1"/>
  <c r="CP82"/>
  <c r="CP107" s="1"/>
  <c r="CR80"/>
  <c r="CR105" s="1"/>
  <c r="Z82"/>
  <c r="Z107" s="1"/>
  <c r="V84"/>
  <c r="V109" s="1"/>
  <c r="BD74"/>
  <c r="BD99" s="1"/>
  <c r="BL72"/>
  <c r="BL97" s="1"/>
  <c r="AJ74"/>
  <c r="AJ99" s="1"/>
  <c r="AB81"/>
  <c r="AB106" s="1"/>
  <c r="AD84"/>
  <c r="AD109" s="1"/>
  <c r="E77"/>
  <c r="E84"/>
  <c r="H85"/>
  <c r="H110" s="1"/>
  <c r="N87"/>
  <c r="N112" s="1"/>
  <c r="N79"/>
  <c r="N104" s="1"/>
  <c r="N71"/>
  <c r="N96" s="1"/>
  <c r="L76"/>
  <c r="L101" s="1"/>
  <c r="X81"/>
  <c r="X106" s="1"/>
  <c r="AF79"/>
  <c r="AF104" s="1"/>
  <c r="AL77"/>
  <c r="AL102" s="1"/>
  <c r="BT73"/>
  <c r="BT98" s="1"/>
  <c r="R71"/>
  <c r="R96" s="1"/>
  <c r="R87"/>
  <c r="R112" s="1"/>
  <c r="T85"/>
  <c r="T110" s="1"/>
  <c r="CP81"/>
  <c r="CP106" s="1"/>
  <c r="CR79"/>
  <c r="CR104" s="1"/>
  <c r="Z83"/>
  <c r="Z108" s="1"/>
  <c r="V85"/>
  <c r="V110" s="1"/>
  <c r="BD73"/>
  <c r="BD98" s="1"/>
  <c r="BL71"/>
  <c r="BL96" s="1"/>
  <c r="BL87"/>
  <c r="BL112" s="1"/>
  <c r="AJ75"/>
  <c r="AJ100" s="1"/>
  <c r="AB80"/>
  <c r="AB105" s="1"/>
  <c r="AD78"/>
  <c r="AD103" s="1"/>
  <c r="H86"/>
  <c r="H111" s="1"/>
  <c r="J80"/>
  <c r="J105" s="1"/>
  <c r="J72"/>
  <c r="J97" s="1"/>
  <c r="L77"/>
  <c r="L102" s="1"/>
  <c r="P82"/>
  <c r="P107" s="1"/>
  <c r="X80"/>
  <c r="X105" s="1"/>
  <c r="AF78"/>
  <c r="AF103" s="1"/>
  <c r="AL76"/>
  <c r="AL101" s="1"/>
  <c r="CF74"/>
  <c r="CF99" s="1"/>
  <c r="BT72"/>
  <c r="BT97" s="1"/>
  <c r="R86"/>
  <c r="R111" s="1"/>
  <c r="T84"/>
  <c r="T109" s="1"/>
  <c r="CN82"/>
  <c r="CN107" s="1"/>
  <c r="CP80"/>
  <c r="CP105" s="1"/>
  <c r="CR78"/>
  <c r="CR103" s="1"/>
  <c r="Z84"/>
  <c r="Z109" s="1"/>
  <c r="V86"/>
  <c r="V111" s="1"/>
  <c r="BD72"/>
  <c r="BD97" s="1"/>
  <c r="BD88"/>
  <c r="BD113" s="1"/>
  <c r="BL86"/>
  <c r="BL111" s="1"/>
  <c r="AJ76"/>
  <c r="AJ101" s="1"/>
  <c r="AB76"/>
  <c r="AB101" s="1"/>
  <c r="AD72"/>
  <c r="AD97" s="1"/>
  <c r="H87"/>
  <c r="H112" s="1"/>
  <c r="N88"/>
  <c r="N113" s="1"/>
  <c r="N80"/>
  <c r="N105" s="1"/>
  <c r="N72"/>
  <c r="N97" s="1"/>
  <c r="L78"/>
  <c r="L103" s="1"/>
  <c r="P81"/>
  <c r="P106" s="1"/>
  <c r="X79"/>
  <c r="X104" s="1"/>
  <c r="AF77"/>
  <c r="AF102" s="1"/>
  <c r="AL75"/>
  <c r="AL100" s="1"/>
  <c r="CF73"/>
  <c r="CF98" s="1"/>
  <c r="BT71"/>
  <c r="BT96" s="1"/>
  <c r="BT87"/>
  <c r="BT112" s="1"/>
  <c r="R85"/>
  <c r="R110" s="1"/>
  <c r="T83"/>
  <c r="T108" s="1"/>
  <c r="CN81"/>
  <c r="CN106" s="1"/>
  <c r="CP79"/>
  <c r="CP104" s="1"/>
  <c r="CR77"/>
  <c r="CR102" s="1"/>
  <c r="Z85"/>
  <c r="Z110" s="1"/>
  <c r="V87"/>
  <c r="V112" s="1"/>
  <c r="BD71"/>
  <c r="BD96" s="1"/>
  <c r="BD87"/>
  <c r="BD112" s="1"/>
  <c r="BL85"/>
  <c r="BL110" s="1"/>
  <c r="AJ77"/>
  <c r="AJ102" s="1"/>
  <c r="AB75"/>
  <c r="AB100" s="1"/>
  <c r="AD88"/>
  <c r="AD113" s="1"/>
  <c r="E76"/>
  <c r="H88"/>
  <c r="H113" s="1"/>
  <c r="H72"/>
  <c r="H97" s="1"/>
  <c r="J81"/>
  <c r="J106" s="1"/>
  <c r="J73"/>
  <c r="J98" s="1"/>
  <c r="L79"/>
  <c r="L104" s="1"/>
  <c r="P80"/>
  <c r="P105" s="1"/>
  <c r="X78"/>
  <c r="X103" s="1"/>
  <c r="AF76"/>
  <c r="AF101" s="1"/>
  <c r="AL74"/>
  <c r="AL99" s="1"/>
  <c r="CF72"/>
  <c r="CF97" s="1"/>
  <c r="CF88"/>
  <c r="CF113" s="1"/>
  <c r="BT86"/>
  <c r="BT111" s="1"/>
  <c r="R84"/>
  <c r="R109" s="1"/>
  <c r="T82"/>
  <c r="T107" s="1"/>
  <c r="CN80"/>
  <c r="CN105" s="1"/>
  <c r="CP78"/>
  <c r="CP103" s="1"/>
  <c r="CR76"/>
  <c r="CR101" s="1"/>
  <c r="Z86"/>
  <c r="Z111" s="1"/>
  <c r="V88"/>
  <c r="V113" s="1"/>
  <c r="V72"/>
  <c r="V97" s="1"/>
  <c r="BD86"/>
  <c r="BD111" s="1"/>
  <c r="BL84"/>
  <c r="BL109" s="1"/>
  <c r="AJ78"/>
  <c r="AJ103" s="1"/>
  <c r="AB74"/>
  <c r="AB99" s="1"/>
  <c r="AD87"/>
  <c r="AD112" s="1"/>
  <c r="H71"/>
  <c r="H96" s="1"/>
  <c r="H73"/>
  <c r="H98" s="1"/>
  <c r="N81"/>
  <c r="N106" s="1"/>
  <c r="N73"/>
  <c r="N98" s="1"/>
  <c r="L80"/>
  <c r="L105" s="1"/>
  <c r="P79"/>
  <c r="P104" s="1"/>
  <c r="X77"/>
  <c r="X102" s="1"/>
  <c r="AL73"/>
  <c r="AL98" s="1"/>
  <c r="CF71"/>
  <c r="CF96" s="1"/>
  <c r="CF87"/>
  <c r="CF112" s="1"/>
  <c r="BT85"/>
  <c r="BT110" s="1"/>
  <c r="T81"/>
  <c r="T106" s="1"/>
  <c r="CN79"/>
  <c r="CN104" s="1"/>
  <c r="CP77"/>
  <c r="CP102" s="1"/>
  <c r="CR75"/>
  <c r="CR100" s="1"/>
  <c r="Z87"/>
  <c r="Z112" s="1"/>
  <c r="V71"/>
  <c r="V96" s="1"/>
  <c r="V73"/>
  <c r="V98" s="1"/>
  <c r="BD85"/>
  <c r="BD110" s="1"/>
  <c r="BL83"/>
  <c r="BL108" s="1"/>
  <c r="AJ79"/>
  <c r="AJ104" s="1"/>
  <c r="AB85"/>
  <c r="AB110" s="1"/>
  <c r="AD83"/>
  <c r="AD108" s="1"/>
  <c r="H74"/>
  <c r="H99" s="1"/>
  <c r="J82"/>
  <c r="J107" s="1"/>
  <c r="J74"/>
  <c r="J99" s="1"/>
  <c r="L81"/>
  <c r="L106" s="1"/>
  <c r="P78"/>
  <c r="P103" s="1"/>
  <c r="X76"/>
  <c r="X101" s="1"/>
  <c r="AF74"/>
  <c r="AF99" s="1"/>
  <c r="AL72"/>
  <c r="AL97" s="1"/>
  <c r="BT84"/>
  <c r="BT109" s="1"/>
  <c r="R82"/>
  <c r="R107" s="1"/>
  <c r="T80"/>
  <c r="T105" s="1"/>
  <c r="CR74"/>
  <c r="CR99" s="1"/>
  <c r="V74"/>
  <c r="V99" s="1"/>
  <c r="BL82"/>
  <c r="BL107" s="1"/>
  <c r="AB79"/>
  <c r="AB104" s="1"/>
  <c r="AD82"/>
  <c r="AD107" s="1"/>
  <c r="H75"/>
  <c r="H100" s="1"/>
  <c r="N82"/>
  <c r="N107" s="1"/>
  <c r="P77"/>
  <c r="P102" s="1"/>
  <c r="X75"/>
  <c r="X100" s="1"/>
  <c r="AF73"/>
  <c r="AF98" s="1"/>
  <c r="AL71"/>
  <c r="AL96" s="1"/>
  <c r="BT83"/>
  <c r="BT108" s="1"/>
  <c r="R81"/>
  <c r="R106" s="1"/>
  <c r="CN77"/>
  <c r="CN102" s="1"/>
  <c r="CP75"/>
  <c r="CP100" s="1"/>
  <c r="CR73"/>
  <c r="CR98" s="1"/>
  <c r="Z73"/>
  <c r="Z98" s="1"/>
  <c r="BL81"/>
  <c r="BL106" s="1"/>
  <c r="AJ81"/>
  <c r="AJ106" s="1"/>
  <c r="E74"/>
  <c r="E82"/>
  <c r="E88"/>
  <c r="E75"/>
  <c r="E83"/>
  <c r="E73"/>
  <c r="E81"/>
  <c r="F75" i="1"/>
  <c r="H75" s="1"/>
  <c r="J75" s="1"/>
  <c r="K75" s="1"/>
  <c r="AA38"/>
  <c r="AA37"/>
  <c r="AA36"/>
  <c r="AA35"/>
  <c r="F73"/>
  <c r="H73" s="1"/>
  <c r="J73" s="1"/>
  <c r="K73" s="1"/>
  <c r="F71"/>
  <c r="H71" s="1"/>
  <c r="J71" s="1"/>
  <c r="K71" s="1"/>
  <c r="U123" i="44"/>
  <c r="V123"/>
  <c r="V82"/>
  <c r="U82"/>
  <c r="U48"/>
  <c r="V48"/>
  <c r="U15"/>
  <c r="V15"/>
  <c r="F74" i="1"/>
  <c r="H74" s="1"/>
  <c r="J74" s="1"/>
  <c r="K74" s="1"/>
  <c r="M71"/>
  <c r="W87"/>
  <c r="G109"/>
  <c r="H109" s="1"/>
  <c r="J109" s="1"/>
  <c r="K109" s="1"/>
  <c r="G113"/>
  <c r="H113" s="1"/>
  <c r="J113" s="1"/>
  <c r="K113" s="1"/>
  <c r="G112"/>
  <c r="H112" s="1"/>
  <c r="J112" s="1"/>
  <c r="K112" s="1"/>
  <c r="G111"/>
  <c r="H111" s="1"/>
  <c r="J111" s="1"/>
  <c r="K111" s="1"/>
  <c r="G110"/>
  <c r="H110" s="1"/>
  <c r="J110" s="1"/>
  <c r="K110" s="1"/>
  <c r="M109"/>
  <c r="I79"/>
  <c r="AJ54"/>
  <c r="I80"/>
  <c r="AM49"/>
  <c r="AO49" s="1"/>
  <c r="I83"/>
  <c r="I82"/>
  <c r="U125" i="44" l="1"/>
  <c r="V125"/>
  <c r="N71" i="1"/>
  <c r="O71" s="1"/>
  <c r="P71" s="1"/>
  <c r="F17" s="1"/>
  <c r="U88"/>
  <c r="U19"/>
  <c r="N109"/>
  <c r="O109" s="1"/>
  <c r="P109" s="1"/>
  <c r="K17" s="1"/>
  <c r="AP49"/>
  <c r="P9" s="1"/>
  <c r="O356" i="13"/>
  <c r="N356"/>
  <c r="M356"/>
  <c r="L356"/>
  <c r="O341"/>
  <c r="N341"/>
  <c r="M341"/>
  <c r="L341"/>
  <c r="B357"/>
  <c r="O217"/>
  <c r="N217"/>
  <c r="M217"/>
  <c r="L217"/>
  <c r="O216"/>
  <c r="N216"/>
  <c r="M216"/>
  <c r="L216"/>
  <c r="O215"/>
  <c r="N215"/>
  <c r="M215"/>
  <c r="L215"/>
  <c r="O214"/>
  <c r="N214"/>
  <c r="M214"/>
  <c r="L214"/>
  <c r="O213"/>
  <c r="N213"/>
  <c r="M213"/>
  <c r="L213"/>
  <c r="O302"/>
  <c r="N302"/>
  <c r="M302"/>
  <c r="L302"/>
  <c r="O301"/>
  <c r="N301"/>
  <c r="M301"/>
  <c r="L301"/>
  <c r="O300"/>
  <c r="N300"/>
  <c r="M300"/>
  <c r="L300"/>
  <c r="O299"/>
  <c r="N299"/>
  <c r="M299"/>
  <c r="L299"/>
  <c r="O298"/>
  <c r="N298"/>
  <c r="M298"/>
  <c r="L298"/>
  <c r="O297"/>
  <c r="N297"/>
  <c r="M297"/>
  <c r="L297"/>
  <c r="O296"/>
  <c r="N296"/>
  <c r="M296"/>
  <c r="L296"/>
  <c r="O295"/>
  <c r="N295"/>
  <c r="M295"/>
  <c r="L295"/>
  <c r="O294"/>
  <c r="N294"/>
  <c r="M294"/>
  <c r="L294"/>
  <c r="O293"/>
  <c r="N293"/>
  <c r="M293"/>
  <c r="L293"/>
  <c r="O307"/>
  <c r="N307"/>
  <c r="M307"/>
  <c r="L307"/>
  <c r="O306"/>
  <c r="N306"/>
  <c r="M306"/>
  <c r="L306"/>
  <c r="O305"/>
  <c r="N305"/>
  <c r="M305"/>
  <c r="L305"/>
  <c r="O304"/>
  <c r="N304"/>
  <c r="M304"/>
  <c r="L304"/>
  <c r="O303"/>
  <c r="N303"/>
  <c r="M303"/>
  <c r="L303"/>
  <c r="O268"/>
  <c r="N268"/>
  <c r="M268"/>
  <c r="L268"/>
  <c r="O267"/>
  <c r="N267"/>
  <c r="M267"/>
  <c r="L267"/>
  <c r="O266"/>
  <c r="N266"/>
  <c r="M266"/>
  <c r="L266"/>
  <c r="O265"/>
  <c r="N265"/>
  <c r="M265"/>
  <c r="L265"/>
  <c r="O264"/>
  <c r="N264"/>
  <c r="M264"/>
  <c r="L264"/>
  <c r="O212"/>
  <c r="N212"/>
  <c r="M212"/>
  <c r="L212"/>
  <c r="O211"/>
  <c r="N211"/>
  <c r="M211"/>
  <c r="L211"/>
  <c r="O210"/>
  <c r="N210"/>
  <c r="M210"/>
  <c r="L210"/>
  <c r="O209"/>
  <c r="N209"/>
  <c r="M209"/>
  <c r="L209"/>
  <c r="O208"/>
  <c r="N208"/>
  <c r="M208"/>
  <c r="L208"/>
  <c r="O226"/>
  <c r="N226"/>
  <c r="M226"/>
  <c r="L226"/>
  <c r="O225"/>
  <c r="N225"/>
  <c r="M225"/>
  <c r="L225"/>
  <c r="O224"/>
  <c r="N224"/>
  <c r="M224"/>
  <c r="L224"/>
  <c r="O223"/>
  <c r="N223"/>
  <c r="M223"/>
  <c r="L223"/>
  <c r="O193"/>
  <c r="N193"/>
  <c r="M193"/>
  <c r="L193"/>
  <c r="O192"/>
  <c r="N192"/>
  <c r="M192"/>
  <c r="L192"/>
  <c r="O191"/>
  <c r="N191"/>
  <c r="M191"/>
  <c r="L191"/>
  <c r="O190"/>
  <c r="N190"/>
  <c r="M190"/>
  <c r="L190"/>
  <c r="O189"/>
  <c r="N189"/>
  <c r="M189"/>
  <c r="L189"/>
  <c r="O222"/>
  <c r="N222"/>
  <c r="M222"/>
  <c r="L222"/>
  <c r="O221"/>
  <c r="N221"/>
  <c r="M221"/>
  <c r="L221"/>
  <c r="O220"/>
  <c r="N220"/>
  <c r="M220"/>
  <c r="L220"/>
  <c r="O219"/>
  <c r="N219"/>
  <c r="M219"/>
  <c r="L219"/>
  <c r="O218"/>
  <c r="N218"/>
  <c r="M218"/>
  <c r="L218"/>
  <c r="O146"/>
  <c r="N146"/>
  <c r="M146"/>
  <c r="L146"/>
  <c r="O145"/>
  <c r="N145"/>
  <c r="M145"/>
  <c r="L145"/>
  <c r="O144"/>
  <c r="N144"/>
  <c r="M144"/>
  <c r="L144"/>
  <c r="O143"/>
  <c r="N143"/>
  <c r="M143"/>
  <c r="L143"/>
  <c r="O142"/>
  <c r="N142"/>
  <c r="M142"/>
  <c r="L142"/>
  <c r="O127"/>
  <c r="N127"/>
  <c r="M127"/>
  <c r="L127"/>
  <c r="O126"/>
  <c r="N126"/>
  <c r="M126"/>
  <c r="L126"/>
  <c r="O125"/>
  <c r="N125"/>
  <c r="M125"/>
  <c r="L125"/>
  <c r="O124"/>
  <c r="N124"/>
  <c r="M124"/>
  <c r="L124"/>
  <c r="O123"/>
  <c r="N123"/>
  <c r="M123"/>
  <c r="L123"/>
  <c r="O122"/>
  <c r="N122"/>
  <c r="M122"/>
  <c r="L122"/>
  <c r="O121"/>
  <c r="N121"/>
  <c r="M121"/>
  <c r="L121"/>
  <c r="O120"/>
  <c r="N120"/>
  <c r="M120"/>
  <c r="L120"/>
  <c r="O119"/>
  <c r="N119"/>
  <c r="M119"/>
  <c r="L119"/>
  <c r="O118"/>
  <c r="N118"/>
  <c r="M118"/>
  <c r="L118"/>
  <c r="L75"/>
  <c r="L74"/>
  <c r="O75"/>
  <c r="O74"/>
  <c r="O73"/>
  <c r="O72"/>
  <c r="O71"/>
  <c r="N75"/>
  <c r="N74"/>
  <c r="N73"/>
  <c r="M75"/>
  <c r="M74"/>
  <c r="M73"/>
  <c r="L73"/>
  <c r="N72"/>
  <c r="M72"/>
  <c r="L72"/>
  <c r="N71"/>
  <c r="M71"/>
  <c r="L71"/>
  <c r="J13" i="31"/>
  <c r="J12"/>
  <c r="J11"/>
  <c r="J10"/>
  <c r="J7"/>
  <c r="J6"/>
  <c r="J9"/>
  <c r="J8"/>
  <c r="I32"/>
  <c r="I33"/>
  <c r="I34"/>
  <c r="I35"/>
  <c r="I36"/>
  <c r="I37"/>
  <c r="I38"/>
  <c r="I39"/>
  <c r="I40"/>
  <c r="I41"/>
  <c r="I42"/>
  <c r="I43"/>
  <c r="I44"/>
  <c r="I45"/>
  <c r="I46"/>
  <c r="I47"/>
  <c r="I31"/>
  <c r="I30"/>
  <c r="AJ37" i="1"/>
  <c r="AM32"/>
  <c r="AO32" s="1"/>
  <c r="M100"/>
  <c r="L175" i="13"/>
  <c r="W58" i="1"/>
  <c r="W59"/>
  <c r="W51"/>
  <c r="W52"/>
  <c r="W53"/>
  <c r="W54"/>
  <c r="W55"/>
  <c r="W56"/>
  <c r="W57"/>
  <c r="W50"/>
  <c r="AA42"/>
  <c r="Z42"/>
  <c r="Y42"/>
  <c r="W42"/>
  <c r="Y38"/>
  <c r="Y37"/>
  <c r="Y36"/>
  <c r="Y35"/>
  <c r="Y34"/>
  <c r="X36"/>
  <c r="O355" i="13"/>
  <c r="N355"/>
  <c r="M355"/>
  <c r="L355"/>
  <c r="O354"/>
  <c r="N354"/>
  <c r="M354"/>
  <c r="L354"/>
  <c r="O353"/>
  <c r="N353"/>
  <c r="M353"/>
  <c r="L353"/>
  <c r="O352"/>
  <c r="N352"/>
  <c r="M352"/>
  <c r="L352"/>
  <c r="O351"/>
  <c r="N351"/>
  <c r="M351"/>
  <c r="L351"/>
  <c r="O350"/>
  <c r="N350"/>
  <c r="M350"/>
  <c r="L350"/>
  <c r="O349"/>
  <c r="N349"/>
  <c r="M349"/>
  <c r="L349"/>
  <c r="O348"/>
  <c r="N348"/>
  <c r="M348"/>
  <c r="L348"/>
  <c r="O347"/>
  <c r="N347"/>
  <c r="M347"/>
  <c r="L347"/>
  <c r="O340"/>
  <c r="N340"/>
  <c r="M340"/>
  <c r="L340"/>
  <c r="O339"/>
  <c r="N339"/>
  <c r="M339"/>
  <c r="L339"/>
  <c r="O338"/>
  <c r="N338"/>
  <c r="M338"/>
  <c r="L338"/>
  <c r="O337"/>
  <c r="N337"/>
  <c r="M337"/>
  <c r="L337"/>
  <c r="O336"/>
  <c r="N336"/>
  <c r="M336"/>
  <c r="L336"/>
  <c r="O335"/>
  <c r="N335"/>
  <c r="M335"/>
  <c r="L335"/>
  <c r="O334"/>
  <c r="N334"/>
  <c r="M334"/>
  <c r="L334"/>
  <c r="O333"/>
  <c r="N333"/>
  <c r="M333"/>
  <c r="L333"/>
  <c r="O332"/>
  <c r="N332"/>
  <c r="M332"/>
  <c r="L332"/>
  <c r="O346"/>
  <c r="N346"/>
  <c r="M346"/>
  <c r="L346"/>
  <c r="O345"/>
  <c r="N345"/>
  <c r="M345"/>
  <c r="L345"/>
  <c r="O344"/>
  <c r="N344"/>
  <c r="M344"/>
  <c r="L344"/>
  <c r="O343"/>
  <c r="N343"/>
  <c r="M343"/>
  <c r="L343"/>
  <c r="O342"/>
  <c r="N342"/>
  <c r="M342"/>
  <c r="L342"/>
  <c r="O242"/>
  <c r="N242"/>
  <c r="M242"/>
  <c r="L242"/>
  <c r="O241"/>
  <c r="N241"/>
  <c r="M241"/>
  <c r="L241"/>
  <c r="O240"/>
  <c r="N240"/>
  <c r="M240"/>
  <c r="L240"/>
  <c r="O312"/>
  <c r="N312"/>
  <c r="M312"/>
  <c r="L312"/>
  <c r="O311"/>
  <c r="N311"/>
  <c r="M311"/>
  <c r="L311"/>
  <c r="O310"/>
  <c r="N310"/>
  <c r="M310"/>
  <c r="L310"/>
  <c r="O309"/>
  <c r="N309"/>
  <c r="M309"/>
  <c r="L309"/>
  <c r="O308"/>
  <c r="N308"/>
  <c r="M308"/>
  <c r="L308"/>
  <c r="O283"/>
  <c r="N283"/>
  <c r="M283"/>
  <c r="L283"/>
  <c r="O292"/>
  <c r="N292"/>
  <c r="M292"/>
  <c r="L292"/>
  <c r="O291"/>
  <c r="N291"/>
  <c r="M291"/>
  <c r="L291"/>
  <c r="O290"/>
  <c r="N290"/>
  <c r="M290"/>
  <c r="L290"/>
  <c r="O289"/>
  <c r="N289"/>
  <c r="M289"/>
  <c r="L289"/>
  <c r="O288"/>
  <c r="N288"/>
  <c r="M288"/>
  <c r="L288"/>
  <c r="O287"/>
  <c r="N287"/>
  <c r="M287"/>
  <c r="L287"/>
  <c r="O286"/>
  <c r="N286"/>
  <c r="M286"/>
  <c r="L286"/>
  <c r="O285"/>
  <c r="N285"/>
  <c r="M285"/>
  <c r="L285"/>
  <c r="O284"/>
  <c r="N284"/>
  <c r="M284"/>
  <c r="L284"/>
  <c r="O282"/>
  <c r="N282"/>
  <c r="M282"/>
  <c r="L282"/>
  <c r="O281"/>
  <c r="N281"/>
  <c r="M281"/>
  <c r="L281"/>
  <c r="O280"/>
  <c r="N280"/>
  <c r="M280"/>
  <c r="L280"/>
  <c r="O279"/>
  <c r="N279"/>
  <c r="M279"/>
  <c r="L279"/>
  <c r="O278"/>
  <c r="N278"/>
  <c r="M278"/>
  <c r="L278"/>
  <c r="O277"/>
  <c r="N277"/>
  <c r="M277"/>
  <c r="L277"/>
  <c r="O276"/>
  <c r="N276"/>
  <c r="M276"/>
  <c r="L276"/>
  <c r="O275"/>
  <c r="N275"/>
  <c r="M275"/>
  <c r="L275"/>
  <c r="O274"/>
  <c r="N274"/>
  <c r="M274"/>
  <c r="L274"/>
  <c r="O273"/>
  <c r="N273"/>
  <c r="M273"/>
  <c r="L273"/>
  <c r="O272"/>
  <c r="N272"/>
  <c r="M272"/>
  <c r="L272"/>
  <c r="O271"/>
  <c r="N271"/>
  <c r="M271"/>
  <c r="L271"/>
  <c r="O270"/>
  <c r="N270"/>
  <c r="M270"/>
  <c r="L270"/>
  <c r="O269"/>
  <c r="N269"/>
  <c r="M269"/>
  <c r="L269"/>
  <c r="O249"/>
  <c r="N249"/>
  <c r="M249"/>
  <c r="L249"/>
  <c r="O248"/>
  <c r="N248"/>
  <c r="M248"/>
  <c r="L248"/>
  <c r="O247"/>
  <c r="N247"/>
  <c r="M247"/>
  <c r="L247"/>
  <c r="O246"/>
  <c r="N246"/>
  <c r="M246"/>
  <c r="L246"/>
  <c r="O245"/>
  <c r="N245"/>
  <c r="M245"/>
  <c r="L245"/>
  <c r="O244"/>
  <c r="N244"/>
  <c r="M244"/>
  <c r="L244"/>
  <c r="O243"/>
  <c r="N243"/>
  <c r="M243"/>
  <c r="L243"/>
  <c r="O263"/>
  <c r="N263"/>
  <c r="M263"/>
  <c r="L263"/>
  <c r="O262"/>
  <c r="N262"/>
  <c r="M262"/>
  <c r="L262"/>
  <c r="O261"/>
  <c r="N261"/>
  <c r="M261"/>
  <c r="L261"/>
  <c r="O260"/>
  <c r="N260"/>
  <c r="M260"/>
  <c r="L260"/>
  <c r="O259"/>
  <c r="N259"/>
  <c r="M259"/>
  <c r="L259"/>
  <c r="O258"/>
  <c r="N258"/>
  <c r="M258"/>
  <c r="L258"/>
  <c r="O257"/>
  <c r="N257"/>
  <c r="M257"/>
  <c r="L257"/>
  <c r="O256"/>
  <c r="N256"/>
  <c r="M256"/>
  <c r="L256"/>
  <c r="O255"/>
  <c r="N255"/>
  <c r="M255"/>
  <c r="L255"/>
  <c r="O254"/>
  <c r="N254"/>
  <c r="M254"/>
  <c r="L254"/>
  <c r="O253"/>
  <c r="N253"/>
  <c r="M253"/>
  <c r="L253"/>
  <c r="O252"/>
  <c r="N252"/>
  <c r="M252"/>
  <c r="L252"/>
  <c r="O251"/>
  <c r="N251"/>
  <c r="M251"/>
  <c r="L251"/>
  <c r="O250"/>
  <c r="N250"/>
  <c r="M250"/>
  <c r="L250"/>
  <c r="O239"/>
  <c r="N239"/>
  <c r="M239"/>
  <c r="L239"/>
  <c r="O238"/>
  <c r="N238"/>
  <c r="M238"/>
  <c r="L238"/>
  <c r="O237"/>
  <c r="N237"/>
  <c r="M237"/>
  <c r="L237"/>
  <c r="O236"/>
  <c r="N236"/>
  <c r="M236"/>
  <c r="L236"/>
  <c r="O235"/>
  <c r="N235"/>
  <c r="M235"/>
  <c r="L235"/>
  <c r="O234"/>
  <c r="N234"/>
  <c r="M234"/>
  <c r="L234"/>
  <c r="O233"/>
  <c r="N233"/>
  <c r="M233"/>
  <c r="L233"/>
  <c r="O232"/>
  <c r="N232"/>
  <c r="M232"/>
  <c r="L232"/>
  <c r="O231"/>
  <c r="N231"/>
  <c r="M231"/>
  <c r="L231"/>
  <c r="O230"/>
  <c r="N230"/>
  <c r="M230"/>
  <c r="L230"/>
  <c r="O229"/>
  <c r="N229"/>
  <c r="M229"/>
  <c r="L229"/>
  <c r="O228"/>
  <c r="N228"/>
  <c r="M228"/>
  <c r="L228"/>
  <c r="O227"/>
  <c r="N227"/>
  <c r="M227"/>
  <c r="L227"/>
  <c r="O331"/>
  <c r="N331"/>
  <c r="M331"/>
  <c r="L331"/>
  <c r="O330"/>
  <c r="N330"/>
  <c r="M330"/>
  <c r="L330"/>
  <c r="O329"/>
  <c r="N329"/>
  <c r="M329"/>
  <c r="L329"/>
  <c r="O328"/>
  <c r="N328"/>
  <c r="M328"/>
  <c r="L328"/>
  <c r="O327"/>
  <c r="N327"/>
  <c r="M327"/>
  <c r="L327"/>
  <c r="O326"/>
  <c r="N326"/>
  <c r="M326"/>
  <c r="L326"/>
  <c r="O325"/>
  <c r="N325"/>
  <c r="M325"/>
  <c r="L325"/>
  <c r="O324"/>
  <c r="N324"/>
  <c r="M324"/>
  <c r="L324"/>
  <c r="O323"/>
  <c r="N323"/>
  <c r="M323"/>
  <c r="L323"/>
  <c r="O322"/>
  <c r="N322"/>
  <c r="M322"/>
  <c r="L322"/>
  <c r="O321"/>
  <c r="N321"/>
  <c r="M321"/>
  <c r="L321"/>
  <c r="O320"/>
  <c r="N320"/>
  <c r="M320"/>
  <c r="L320"/>
  <c r="O319"/>
  <c r="N319"/>
  <c r="M319"/>
  <c r="L319"/>
  <c r="O318"/>
  <c r="N318"/>
  <c r="M318"/>
  <c r="L318"/>
  <c r="O207"/>
  <c r="N207"/>
  <c r="M207"/>
  <c r="L207"/>
  <c r="O206"/>
  <c r="N206"/>
  <c r="M206"/>
  <c r="L206"/>
  <c r="O205"/>
  <c r="N205"/>
  <c r="M205"/>
  <c r="L205"/>
  <c r="O204"/>
  <c r="N204"/>
  <c r="M204"/>
  <c r="L204"/>
  <c r="O203"/>
  <c r="N203"/>
  <c r="M203"/>
  <c r="L203"/>
  <c r="O202"/>
  <c r="N202"/>
  <c r="M202"/>
  <c r="L202"/>
  <c r="O201"/>
  <c r="N201"/>
  <c r="M201"/>
  <c r="L201"/>
  <c r="O200"/>
  <c r="N200"/>
  <c r="M200"/>
  <c r="L200"/>
  <c r="O199"/>
  <c r="N199"/>
  <c r="M199"/>
  <c r="L199"/>
  <c r="O198"/>
  <c r="N198"/>
  <c r="M198"/>
  <c r="L198"/>
  <c r="O197"/>
  <c r="N197"/>
  <c r="M197"/>
  <c r="L197"/>
  <c r="O196"/>
  <c r="N196"/>
  <c r="M196"/>
  <c r="L196"/>
  <c r="O195"/>
  <c r="N195"/>
  <c r="M195"/>
  <c r="L195"/>
  <c r="O194"/>
  <c r="N194"/>
  <c r="M194"/>
  <c r="L194"/>
  <c r="O317"/>
  <c r="N317"/>
  <c r="M317"/>
  <c r="L317"/>
  <c r="O316"/>
  <c r="N316"/>
  <c r="M316"/>
  <c r="L316"/>
  <c r="O315"/>
  <c r="N315"/>
  <c r="M315"/>
  <c r="L315"/>
  <c r="O314"/>
  <c r="N314"/>
  <c r="M314"/>
  <c r="L314"/>
  <c r="O313"/>
  <c r="N313"/>
  <c r="M313"/>
  <c r="L313"/>
  <c r="O188"/>
  <c r="N188"/>
  <c r="M188"/>
  <c r="L188"/>
  <c r="O187"/>
  <c r="N187"/>
  <c r="M187"/>
  <c r="L187"/>
  <c r="O186"/>
  <c r="N186"/>
  <c r="M186"/>
  <c r="L186"/>
  <c r="O185"/>
  <c r="N185"/>
  <c r="M185"/>
  <c r="L185"/>
  <c r="O184"/>
  <c r="N184"/>
  <c r="M184"/>
  <c r="L184"/>
  <c r="O183"/>
  <c r="N183"/>
  <c r="M183"/>
  <c r="L183"/>
  <c r="O182"/>
  <c r="N182"/>
  <c r="M182"/>
  <c r="L182"/>
  <c r="O181"/>
  <c r="N181"/>
  <c r="M181"/>
  <c r="L181"/>
  <c r="O180"/>
  <c r="N180"/>
  <c r="M180"/>
  <c r="L180"/>
  <c r="O179"/>
  <c r="N179"/>
  <c r="M179"/>
  <c r="L179"/>
  <c r="O178"/>
  <c r="N178"/>
  <c r="M178"/>
  <c r="L178"/>
  <c r="O177"/>
  <c r="N177"/>
  <c r="M177"/>
  <c r="L177"/>
  <c r="O176"/>
  <c r="N176"/>
  <c r="M176"/>
  <c r="L176"/>
  <c r="O175"/>
  <c r="N175"/>
  <c r="M175"/>
  <c r="O174"/>
  <c r="N174"/>
  <c r="M174"/>
  <c r="L174"/>
  <c r="O173"/>
  <c r="N173"/>
  <c r="M173"/>
  <c r="L173"/>
  <c r="O172"/>
  <c r="N172"/>
  <c r="M172"/>
  <c r="L172"/>
  <c r="O171"/>
  <c r="N171"/>
  <c r="M171"/>
  <c r="L171"/>
  <c r="O170"/>
  <c r="N170"/>
  <c r="M170"/>
  <c r="L170"/>
  <c r="O169"/>
  <c r="N169"/>
  <c r="M169"/>
  <c r="L169"/>
  <c r="O168"/>
  <c r="N168"/>
  <c r="M168"/>
  <c r="L168"/>
  <c r="O167"/>
  <c r="N167"/>
  <c r="M167"/>
  <c r="L167"/>
  <c r="O166"/>
  <c r="N166"/>
  <c r="M166"/>
  <c r="L166"/>
  <c r="O165"/>
  <c r="N165"/>
  <c r="M165"/>
  <c r="L165"/>
  <c r="O164"/>
  <c r="N164"/>
  <c r="M164"/>
  <c r="L164"/>
  <c r="O163"/>
  <c r="N163"/>
  <c r="M163"/>
  <c r="L163"/>
  <c r="O162"/>
  <c r="N162"/>
  <c r="M162"/>
  <c r="L162"/>
  <c r="O161"/>
  <c r="N161"/>
  <c r="M161"/>
  <c r="L161"/>
  <c r="O160"/>
  <c r="N160"/>
  <c r="M160"/>
  <c r="L160"/>
  <c r="O159"/>
  <c r="N159"/>
  <c r="M159"/>
  <c r="L159"/>
  <c r="O158"/>
  <c r="N158"/>
  <c r="M158"/>
  <c r="L158"/>
  <c r="O157"/>
  <c r="N157"/>
  <c r="M157"/>
  <c r="L157"/>
  <c r="O156"/>
  <c r="N156"/>
  <c r="M156"/>
  <c r="L156"/>
  <c r="O155"/>
  <c r="N155"/>
  <c r="M155"/>
  <c r="L155"/>
  <c r="O154"/>
  <c r="N154"/>
  <c r="M154"/>
  <c r="L154"/>
  <c r="O153"/>
  <c r="N153"/>
  <c r="M153"/>
  <c r="L153"/>
  <c r="O152"/>
  <c r="N152"/>
  <c r="M152"/>
  <c r="L152"/>
  <c r="O151"/>
  <c r="N151"/>
  <c r="M151"/>
  <c r="L151"/>
  <c r="O150"/>
  <c r="N150"/>
  <c r="M150"/>
  <c r="L150"/>
  <c r="O149"/>
  <c r="N149"/>
  <c r="M149"/>
  <c r="L149"/>
  <c r="O148"/>
  <c r="N148"/>
  <c r="M148"/>
  <c r="L148"/>
  <c r="O147"/>
  <c r="N147"/>
  <c r="M147"/>
  <c r="L147"/>
  <c r="O141"/>
  <c r="N141"/>
  <c r="M141"/>
  <c r="L141"/>
  <c r="O140"/>
  <c r="N140"/>
  <c r="M140"/>
  <c r="L140"/>
  <c r="O139"/>
  <c r="N139"/>
  <c r="M139"/>
  <c r="L139"/>
  <c r="O138"/>
  <c r="N138"/>
  <c r="M138"/>
  <c r="L138"/>
  <c r="O137"/>
  <c r="N137"/>
  <c r="M137"/>
  <c r="L137"/>
  <c r="O136"/>
  <c r="N136"/>
  <c r="M136"/>
  <c r="L136"/>
  <c r="O135"/>
  <c r="N135"/>
  <c r="M135"/>
  <c r="L135"/>
  <c r="O134"/>
  <c r="N134"/>
  <c r="M134"/>
  <c r="L134"/>
  <c r="O133"/>
  <c r="N133"/>
  <c r="M133"/>
  <c r="L133"/>
  <c r="O132"/>
  <c r="N132"/>
  <c r="M132"/>
  <c r="L132"/>
  <c r="O131"/>
  <c r="N131"/>
  <c r="M131"/>
  <c r="L131"/>
  <c r="O130"/>
  <c r="N130"/>
  <c r="M130"/>
  <c r="L130"/>
  <c r="O129"/>
  <c r="N129"/>
  <c r="M129"/>
  <c r="L129"/>
  <c r="O128"/>
  <c r="N128"/>
  <c r="M128"/>
  <c r="L128"/>
  <c r="O103"/>
  <c r="N103"/>
  <c r="M103"/>
  <c r="L103"/>
  <c r="O102"/>
  <c r="N102"/>
  <c r="M102"/>
  <c r="L102"/>
  <c r="O101"/>
  <c r="N101"/>
  <c r="M101"/>
  <c r="L101"/>
  <c r="O100"/>
  <c r="N100"/>
  <c r="M100"/>
  <c r="L100"/>
  <c r="O99"/>
  <c r="N99"/>
  <c r="M99"/>
  <c r="L99"/>
  <c r="O98"/>
  <c r="N98"/>
  <c r="M98"/>
  <c r="L98"/>
  <c r="O97"/>
  <c r="N97"/>
  <c r="M97"/>
  <c r="L97"/>
  <c r="O96"/>
  <c r="N96"/>
  <c r="M96"/>
  <c r="L96"/>
  <c r="O95"/>
  <c r="N95"/>
  <c r="M95"/>
  <c r="L95"/>
  <c r="O94"/>
  <c r="N94"/>
  <c r="M94"/>
  <c r="L94"/>
  <c r="O93"/>
  <c r="N93"/>
  <c r="M93"/>
  <c r="L93"/>
  <c r="O92"/>
  <c r="N92"/>
  <c r="M92"/>
  <c r="L92"/>
  <c r="O91"/>
  <c r="N91"/>
  <c r="M91"/>
  <c r="L91"/>
  <c r="O90"/>
  <c r="N90"/>
  <c r="M90"/>
  <c r="L90"/>
  <c r="O89"/>
  <c r="N89"/>
  <c r="M89"/>
  <c r="L89"/>
  <c r="O88"/>
  <c r="N88"/>
  <c r="M88"/>
  <c r="L88"/>
  <c r="O87"/>
  <c r="N87"/>
  <c r="M87"/>
  <c r="L87"/>
  <c r="O86"/>
  <c r="N86"/>
  <c r="M86"/>
  <c r="L86"/>
  <c r="O85"/>
  <c r="N85"/>
  <c r="M85"/>
  <c r="L85"/>
  <c r="O84"/>
  <c r="N84"/>
  <c r="M84"/>
  <c r="L84"/>
  <c r="O83"/>
  <c r="N83"/>
  <c r="M83"/>
  <c r="L83"/>
  <c r="O82"/>
  <c r="N82"/>
  <c r="M82"/>
  <c r="L82"/>
  <c r="O81"/>
  <c r="N81"/>
  <c r="M81"/>
  <c r="L81"/>
  <c r="O80"/>
  <c r="N80"/>
  <c r="M80"/>
  <c r="L80"/>
  <c r="O79"/>
  <c r="N79"/>
  <c r="M79"/>
  <c r="L79"/>
  <c r="O78"/>
  <c r="N78"/>
  <c r="M78"/>
  <c r="L78"/>
  <c r="O77"/>
  <c r="N77"/>
  <c r="M77"/>
  <c r="L77"/>
  <c r="O76"/>
  <c r="N76"/>
  <c r="M76"/>
  <c r="L76"/>
  <c r="O117"/>
  <c r="N117"/>
  <c r="M117"/>
  <c r="L117"/>
  <c r="O116"/>
  <c r="N116"/>
  <c r="M116"/>
  <c r="L116"/>
  <c r="O115"/>
  <c r="N115"/>
  <c r="M115"/>
  <c r="L115"/>
  <c r="O114"/>
  <c r="N114"/>
  <c r="M114"/>
  <c r="L114"/>
  <c r="O113"/>
  <c r="N113"/>
  <c r="M113"/>
  <c r="L113"/>
  <c r="O112"/>
  <c r="N112"/>
  <c r="M112"/>
  <c r="L112"/>
  <c r="O111"/>
  <c r="N111"/>
  <c r="M111"/>
  <c r="L111"/>
  <c r="O110"/>
  <c r="N110"/>
  <c r="M110"/>
  <c r="L110"/>
  <c r="O109"/>
  <c r="N109"/>
  <c r="M109"/>
  <c r="L109"/>
  <c r="O108"/>
  <c r="N108"/>
  <c r="M108"/>
  <c r="L108"/>
  <c r="O107"/>
  <c r="N107"/>
  <c r="M107"/>
  <c r="L107"/>
  <c r="O106"/>
  <c r="N106"/>
  <c r="M106"/>
  <c r="L106"/>
  <c r="O105"/>
  <c r="N105"/>
  <c r="M105"/>
  <c r="L105"/>
  <c r="O104"/>
  <c r="N104"/>
  <c r="M104"/>
  <c r="L104"/>
  <c r="O70"/>
  <c r="N70"/>
  <c r="M70"/>
  <c r="L70"/>
  <c r="O69"/>
  <c r="N69"/>
  <c r="M69"/>
  <c r="L69"/>
  <c r="O68"/>
  <c r="N68"/>
  <c r="M68"/>
  <c r="L68"/>
  <c r="O67"/>
  <c r="N67"/>
  <c r="M67"/>
  <c r="L67"/>
  <c r="O66"/>
  <c r="N66"/>
  <c r="M66"/>
  <c r="L66"/>
  <c r="O65"/>
  <c r="N65"/>
  <c r="M65"/>
  <c r="L65"/>
  <c r="O64"/>
  <c r="N64"/>
  <c r="M64"/>
  <c r="L64"/>
  <c r="O63"/>
  <c r="N63"/>
  <c r="M63"/>
  <c r="L63"/>
  <c r="O62"/>
  <c r="N62"/>
  <c r="M62"/>
  <c r="L62"/>
  <c r="O61"/>
  <c r="N61"/>
  <c r="M61"/>
  <c r="L61"/>
  <c r="O60"/>
  <c r="N60"/>
  <c r="M60"/>
  <c r="L60"/>
  <c r="O59"/>
  <c r="N59"/>
  <c r="M59"/>
  <c r="L59"/>
  <c r="O58"/>
  <c r="N58"/>
  <c r="M58"/>
  <c r="L58"/>
  <c r="O57"/>
  <c r="N57"/>
  <c r="M57"/>
  <c r="L57"/>
  <c r="O56"/>
  <c r="N56"/>
  <c r="M56"/>
  <c r="L56"/>
  <c r="O55"/>
  <c r="N55"/>
  <c r="M55"/>
  <c r="L55"/>
  <c r="O54"/>
  <c r="N54"/>
  <c r="M54"/>
  <c r="L54"/>
  <c r="O53"/>
  <c r="N53"/>
  <c r="M53"/>
  <c r="L53"/>
  <c r="O52"/>
  <c r="N52"/>
  <c r="M52"/>
  <c r="L52"/>
  <c r="O51"/>
  <c r="N51"/>
  <c r="M51"/>
  <c r="L51"/>
  <c r="O50"/>
  <c r="N50"/>
  <c r="M50"/>
  <c r="L50"/>
  <c r="O49"/>
  <c r="N49"/>
  <c r="M49"/>
  <c r="L49"/>
  <c r="O48"/>
  <c r="N48"/>
  <c r="M48"/>
  <c r="L48"/>
  <c r="O47"/>
  <c r="N47"/>
  <c r="M47"/>
  <c r="L47"/>
  <c r="O46"/>
  <c r="N46"/>
  <c r="M46"/>
  <c r="L46"/>
  <c r="O45"/>
  <c r="N45"/>
  <c r="M45"/>
  <c r="L45"/>
  <c r="O44"/>
  <c r="N44"/>
  <c r="M44"/>
  <c r="L44"/>
  <c r="O43"/>
  <c r="N43"/>
  <c r="M43"/>
  <c r="L43"/>
  <c r="O42"/>
  <c r="N42"/>
  <c r="M42"/>
  <c r="L42"/>
  <c r="O41"/>
  <c r="N41"/>
  <c r="M41"/>
  <c r="L41"/>
  <c r="O40"/>
  <c r="N40"/>
  <c r="M40"/>
  <c r="L40"/>
  <c r="O39"/>
  <c r="N39"/>
  <c r="M39"/>
  <c r="L39"/>
  <c r="O38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O16"/>
  <c r="N16"/>
  <c r="M16"/>
  <c r="L16"/>
  <c r="O15"/>
  <c r="N15"/>
  <c r="M15"/>
  <c r="L15"/>
  <c r="O14"/>
  <c r="N14"/>
  <c r="M14"/>
  <c r="L14"/>
  <c r="O13"/>
  <c r="N13"/>
  <c r="M13"/>
  <c r="L13"/>
  <c r="O12"/>
  <c r="N12"/>
  <c r="M12"/>
  <c r="L12"/>
  <c r="O11"/>
  <c r="N11"/>
  <c r="M11"/>
  <c r="L11"/>
  <c r="O10"/>
  <c r="N10"/>
  <c r="M10"/>
  <c r="L10"/>
  <c r="O9"/>
  <c r="N9"/>
  <c r="M9"/>
  <c r="L9"/>
  <c r="O8"/>
  <c r="N8"/>
  <c r="M8"/>
  <c r="L8"/>
  <c r="O7"/>
  <c r="N7"/>
  <c r="M7"/>
  <c r="L7"/>
  <c r="O6"/>
  <c r="N6"/>
  <c r="M6"/>
  <c r="L6"/>
  <c r="O5"/>
  <c r="N5"/>
  <c r="M5"/>
  <c r="L5"/>
  <c r="O4"/>
  <c r="N4"/>
  <c r="M4"/>
  <c r="L4"/>
  <c r="O3"/>
  <c r="N3"/>
  <c r="M3"/>
  <c r="L3"/>
  <c r="O8" i="7"/>
  <c r="P8" s="1"/>
  <c r="O3"/>
  <c r="F32" i="1"/>
  <c r="H32" s="1"/>
  <c r="J32" s="1"/>
  <c r="K32" s="1"/>
  <c r="F33"/>
  <c r="H33" s="1"/>
  <c r="F34"/>
  <c r="H34" s="1"/>
  <c r="J34" s="1"/>
  <c r="K34" s="1"/>
  <c r="F35"/>
  <c r="H35" s="1"/>
  <c r="J35" s="1"/>
  <c r="K35" s="1"/>
  <c r="F31"/>
  <c r="H31" s="1"/>
  <c r="J31" s="1"/>
  <c r="K31" s="1"/>
  <c r="M63"/>
  <c r="M55"/>
  <c r="M47"/>
  <c r="M39"/>
  <c r="M31"/>
  <c r="G104" l="1"/>
  <c r="H104" s="1"/>
  <c r="J104" s="1"/>
  <c r="K104" s="1"/>
  <c r="G103"/>
  <c r="H103" s="1"/>
  <c r="J103" s="1"/>
  <c r="K103" s="1"/>
  <c r="G102"/>
  <c r="H102" s="1"/>
  <c r="J102" s="1"/>
  <c r="K102" s="1"/>
  <c r="G101"/>
  <c r="H101" s="1"/>
  <c r="G100"/>
  <c r="H100" s="1"/>
  <c r="J100" s="1"/>
  <c r="K100" s="1"/>
  <c r="X58"/>
  <c r="U13"/>
  <c r="X59"/>
  <c r="U14"/>
  <c r="X50"/>
  <c r="U5"/>
  <c r="X51"/>
  <c r="U6"/>
  <c r="U7"/>
  <c r="X52"/>
  <c r="X53"/>
  <c r="U8"/>
  <c r="X54"/>
  <c r="U9"/>
  <c r="X55"/>
  <c r="U10"/>
  <c r="X56"/>
  <c r="U11"/>
  <c r="X57"/>
  <c r="U12"/>
  <c r="N2" i="13"/>
  <c r="R2" s="1"/>
  <c r="M2"/>
  <c r="L357"/>
  <c r="L2"/>
  <c r="N357"/>
  <c r="N359" s="1"/>
  <c r="M357"/>
  <c r="J23" i="31"/>
  <c r="J22"/>
  <c r="J18"/>
  <c r="J16"/>
  <c r="J15"/>
  <c r="J25"/>
  <c r="J24"/>
  <c r="J14"/>
  <c r="J21"/>
  <c r="J20"/>
  <c r="J19"/>
  <c r="J17"/>
  <c r="AP32" i="1"/>
  <c r="O9" s="1"/>
  <c r="AC37"/>
  <c r="F57"/>
  <c r="H57" s="1"/>
  <c r="J57" s="1"/>
  <c r="K57" s="1"/>
  <c r="AC38"/>
  <c r="AC36"/>
  <c r="AC35"/>
  <c r="AC34"/>
  <c r="F66"/>
  <c r="H66" s="1"/>
  <c r="J66" s="1"/>
  <c r="K66" s="1"/>
  <c r="F83"/>
  <c r="H83" s="1"/>
  <c r="J83" s="1"/>
  <c r="K83" s="1"/>
  <c r="F63"/>
  <c r="H63" s="1"/>
  <c r="J63" s="1"/>
  <c r="K63" s="1"/>
  <c r="F55"/>
  <c r="H55" s="1"/>
  <c r="J55" s="1"/>
  <c r="K55" s="1"/>
  <c r="F79"/>
  <c r="H79" s="1"/>
  <c r="J79" s="1"/>
  <c r="K79" s="1"/>
  <c r="F58"/>
  <c r="H58" s="1"/>
  <c r="J58" s="1"/>
  <c r="K58" s="1"/>
  <c r="F42"/>
  <c r="H42" s="1"/>
  <c r="J42" s="1"/>
  <c r="K42" s="1"/>
  <c r="F50"/>
  <c r="H50" s="1"/>
  <c r="J50" s="1"/>
  <c r="K50" s="1"/>
  <c r="F49"/>
  <c r="H49" s="1"/>
  <c r="J49" s="1"/>
  <c r="K49" s="1"/>
  <c r="F41"/>
  <c r="H41" s="1"/>
  <c r="J41" s="1"/>
  <c r="K41" s="1"/>
  <c r="F65"/>
  <c r="H65" s="1"/>
  <c r="J65" s="1"/>
  <c r="K65" s="1"/>
  <c r="F47"/>
  <c r="H47" s="1"/>
  <c r="J47" s="1"/>
  <c r="K47" s="1"/>
  <c r="F59"/>
  <c r="H59" s="1"/>
  <c r="J59" s="1"/>
  <c r="K59" s="1"/>
  <c r="F67"/>
  <c r="H67" s="1"/>
  <c r="J67" s="1"/>
  <c r="K67" s="1"/>
  <c r="M79"/>
  <c r="F64"/>
  <c r="H64" s="1"/>
  <c r="J64" s="1"/>
  <c r="K64" s="1"/>
  <c r="F51"/>
  <c r="H51" s="1"/>
  <c r="J51" s="1"/>
  <c r="K51" s="1"/>
  <c r="F56"/>
  <c r="H56" s="1"/>
  <c r="J56" s="1"/>
  <c r="K56" s="1"/>
  <c r="F48"/>
  <c r="H48" s="1"/>
  <c r="J48" s="1"/>
  <c r="K48" s="1"/>
  <c r="F43"/>
  <c r="H43" s="1"/>
  <c r="J43" s="1"/>
  <c r="K43" s="1"/>
  <c r="F40"/>
  <c r="H40" s="1"/>
  <c r="J40" s="1"/>
  <c r="K40" s="1"/>
  <c r="F39"/>
  <c r="H39" s="1"/>
  <c r="J39" s="1"/>
  <c r="K39" s="1"/>
  <c r="F82"/>
  <c r="F80"/>
  <c r="J33"/>
  <c r="K33" s="1"/>
  <c r="N31"/>
  <c r="O31" s="1"/>
  <c r="P31" s="1"/>
  <c r="C17" s="1"/>
  <c r="J101" l="1"/>
  <c r="K101" s="1"/>
  <c r="N100"/>
  <c r="O100" s="1"/>
  <c r="P100" s="1"/>
  <c r="K16" s="1"/>
  <c r="U67"/>
  <c r="X16"/>
  <c r="Y16"/>
  <c r="X15"/>
  <c r="Y15"/>
  <c r="U66"/>
  <c r="X14"/>
  <c r="Y14"/>
  <c r="U65"/>
  <c r="U69"/>
  <c r="X18"/>
  <c r="Y18"/>
  <c r="AD37"/>
  <c r="AE37" s="1"/>
  <c r="U68"/>
  <c r="X17"/>
  <c r="Y17"/>
  <c r="V65"/>
  <c r="V68"/>
  <c r="AD36"/>
  <c r="AE36" s="1"/>
  <c r="V67"/>
  <c r="AD35"/>
  <c r="AE35" s="1"/>
  <c r="X6" s="1"/>
  <c r="V66"/>
  <c r="V69"/>
  <c r="AD34"/>
  <c r="AE34" s="1"/>
  <c r="AD38"/>
  <c r="AE38" s="1"/>
  <c r="H82"/>
  <c r="J82" s="1"/>
  <c r="K82" s="1"/>
  <c r="F81"/>
  <c r="H81" s="1"/>
  <c r="J81" s="1"/>
  <c r="K81" s="1"/>
  <c r="H80"/>
  <c r="J80" s="1"/>
  <c r="K80" s="1"/>
  <c r="N55"/>
  <c r="O55" s="1"/>
  <c r="P55" s="1"/>
  <c r="G17" s="1"/>
  <c r="N47"/>
  <c r="O47" s="1"/>
  <c r="P47" s="1"/>
  <c r="E17" s="1"/>
  <c r="N39"/>
  <c r="O39" s="1"/>
  <c r="P39" s="1"/>
  <c r="D17" s="1"/>
  <c r="N63"/>
  <c r="O63" s="1"/>
  <c r="P63" s="1"/>
  <c r="H17" s="1"/>
  <c r="X9" l="1"/>
  <c r="X7"/>
  <c r="X8"/>
  <c r="X5"/>
  <c r="U71"/>
  <c r="Y19"/>
  <c r="X19"/>
  <c r="V71"/>
  <c r="N79"/>
  <c r="O79" s="1"/>
  <c r="P79" s="1"/>
  <c r="G20" s="1"/>
  <c r="O37" i="13" l="1"/>
  <c r="O36"/>
  <c r="O35"/>
  <c r="O33"/>
  <c r="O32"/>
  <c r="O34"/>
  <c r="O2" l="1"/>
  <c r="O357"/>
</calcChain>
</file>

<file path=xl/sharedStrings.xml><?xml version="1.0" encoding="utf-8"?>
<sst xmlns="http://schemas.openxmlformats.org/spreadsheetml/2006/main" count="2337" uniqueCount="947">
  <si>
    <t>Amortisationsrechner für Produktionsmagie</t>
  </si>
  <si>
    <t>Ressource</t>
  </si>
  <si>
    <t>Erz</t>
  </si>
  <si>
    <t>Gold</t>
  </si>
  <si>
    <t>Holz</t>
  </si>
  <si>
    <t>Nahrung</t>
  </si>
  <si>
    <t>Silber</t>
  </si>
  <si>
    <t>Prod/Tick</t>
  </si>
  <si>
    <t>Anzahl S1</t>
  </si>
  <si>
    <t>Anzahl S2</t>
  </si>
  <si>
    <t>Summe Anz.</t>
  </si>
  <si>
    <t>Boni</t>
  </si>
  <si>
    <t>Akkord</t>
  </si>
  <si>
    <t>Kosten nächste Stufe</t>
  </si>
  <si>
    <t>Bonus Ress/Tick</t>
  </si>
  <si>
    <t>Ticks bis Amortisation</t>
  </si>
  <si>
    <t>Dauer [Tage]</t>
  </si>
  <si>
    <t>Alchemie</t>
  </si>
  <si>
    <t>Manawald</t>
  </si>
  <si>
    <t>Sklaverei</t>
  </si>
  <si>
    <t>Wetterkontrolle</t>
  </si>
  <si>
    <t>Rohstoffwertigkeit</t>
  </si>
  <si>
    <t>Goldwert</t>
  </si>
  <si>
    <t>Kosten</t>
  </si>
  <si>
    <t xml:space="preserve">Bonus Ress/Tick </t>
  </si>
  <si>
    <t>Tage</t>
  </si>
  <si>
    <t>PALAST</t>
  </si>
  <si>
    <t>Anzahl S3</t>
  </si>
  <si>
    <t>Kosten nächste Stufe
 (pro Person)</t>
  </si>
  <si>
    <t>Anzahl Gruppenmitglieder</t>
  </si>
  <si>
    <t>AP</t>
  </si>
  <si>
    <t>VP</t>
  </si>
  <si>
    <t>HP</t>
  </si>
  <si>
    <t>Giftlaus</t>
  </si>
  <si>
    <t>Anzahl</t>
  </si>
  <si>
    <t>Kobold</t>
  </si>
  <si>
    <t>Unhold</t>
  </si>
  <si>
    <t>Axtwerfer</t>
  </si>
  <si>
    <t>Ork</t>
  </si>
  <si>
    <t>Zwerg</t>
  </si>
  <si>
    <t>Waldriese</t>
  </si>
  <si>
    <t>Elf</t>
  </si>
  <si>
    <t>Abtrünniger</t>
  </si>
  <si>
    <t>Eisharpyie</t>
  </si>
  <si>
    <t>Krallenspringer</t>
  </si>
  <si>
    <t>Vampir</t>
  </si>
  <si>
    <t>Killermull</t>
  </si>
  <si>
    <t>Feuerspinne</t>
  </si>
  <si>
    <t>Nephilim</t>
  </si>
  <si>
    <t>Beobachter</t>
  </si>
  <si>
    <t>Hydra</t>
  </si>
  <si>
    <t>Chaosdrache</t>
  </si>
  <si>
    <t>Siriusfalke</t>
  </si>
  <si>
    <t>Gipfeldruide</t>
  </si>
  <si>
    <t>Mumie</t>
  </si>
  <si>
    <t>Namenloser</t>
  </si>
  <si>
    <t>Kopfgeld</t>
  </si>
  <si>
    <t>Elior</t>
  </si>
  <si>
    <t>Drachenjäger</t>
  </si>
  <si>
    <t>Stufe</t>
  </si>
  <si>
    <t>Avatar</t>
  </si>
  <si>
    <t>Dauer [h]</t>
  </si>
  <si>
    <t>Drachenei</t>
  </si>
  <si>
    <t>%</t>
  </si>
  <si>
    <t>Value</t>
  </si>
  <si>
    <t>Felsenei</t>
  </si>
  <si>
    <t>Donnerei</t>
  </si>
  <si>
    <t>Frostei</t>
  </si>
  <si>
    <t>Feuerei</t>
  </si>
  <si>
    <t>Avg. Value</t>
  </si>
  <si>
    <t>Handel</t>
  </si>
  <si>
    <t>Anz.</t>
  </si>
  <si>
    <t xml:space="preserve">Kosten </t>
  </si>
  <si>
    <t>MP</t>
  </si>
  <si>
    <t>TP</t>
  </si>
  <si>
    <t>Eiswyrm</t>
  </si>
  <si>
    <t>Erzengel</t>
  </si>
  <si>
    <t>Ifrit</t>
  </si>
  <si>
    <t>Skelettkrieger</t>
  </si>
  <si>
    <t>Späher</t>
  </si>
  <si>
    <t>Tyr</t>
  </si>
  <si>
    <t>Spezial</t>
  </si>
  <si>
    <t>Zauber</t>
  </si>
  <si>
    <t>Erdlaus</t>
  </si>
  <si>
    <t>fette Giftlaus</t>
  </si>
  <si>
    <t>Feuerlaus</t>
  </si>
  <si>
    <t>Frostlaus</t>
  </si>
  <si>
    <t>Lausling</t>
  </si>
  <si>
    <t>  </t>
  </si>
  <si>
    <t>Windlaus</t>
  </si>
  <si>
    <t>explodierende Laus</t>
  </si>
  <si>
    <t>   </t>
  </si>
  <si>
    <t>Gewitterlaus</t>
  </si>
  <si>
    <t>Blitz</t>
  </si>
  <si>
    <t>Mecha-Insektoid</t>
  </si>
  <si>
    <t>schwarze Wanze</t>
  </si>
  <si>
    <t>heiliger Skarabäus</t>
  </si>
  <si>
    <t>Schattenlaus</t>
  </si>
  <si>
    <t>Echnatons Avatar</t>
  </si>
  <si>
    <t>Baumfäller</t>
  </si>
  <si>
    <t>Doppelaxtwerfer</t>
  </si>
  <si>
    <t>verdammte Axt</t>
  </si>
  <si>
    <t>Axtjongleur</t>
  </si>
  <si>
    <t>Axtmörder</t>
  </si>
  <si>
    <t>    </t>
  </si>
  <si>
    <t>Hassender</t>
  </si>
  <si>
    <t>Koboldprinz</t>
  </si>
  <si>
    <t>Rohbold</t>
  </si>
  <si>
    <t>Schildträger</t>
  </si>
  <si>
    <t>tanzender Kobold</t>
  </si>
  <si>
    <t>wilder Schläger</t>
  </si>
  <si>
    <t>blinder Koboldschamane</t>
  </si>
  <si>
    <t>Kampfeslust</t>
  </si>
  <si>
    <t>Erdnuckel</t>
  </si>
  <si>
    <t>Infernokobold</t>
  </si>
  <si>
    <t>rastloser Knilch</t>
  </si>
  <si>
    <t>Koboldreiter</t>
  </si>
  <si>
    <t>Maladator</t>
  </si>
  <si>
    <t>Harus der Grausame</t>
  </si>
  <si>
    <t>Lepraschaum</t>
  </si>
  <si>
    <t>Grabkriecher</t>
  </si>
  <si>
    <t>Brandpfeil</t>
  </si>
  <si>
    <t>garstiger Unhold</t>
  </si>
  <si>
    <t>Wächter der Stille</t>
  </si>
  <si>
    <t>Eiseskälte</t>
  </si>
  <si>
    <t>Schatten der Vergangenheit</t>
  </si>
  <si>
    <t>Feuersturm</t>
  </si>
  <si>
    <t>Deserteur</t>
  </si>
  <si>
    <t>feister Stalljunge</t>
  </si>
  <si>
    <t>Sensenschwinger</t>
  </si>
  <si>
    <t>untoter Bauer</t>
  </si>
  <si>
    <t>Unwilliger</t>
  </si>
  <si>
    <t>verhasster Bauer</t>
  </si>
  <si>
    <t>Bauer der roten Ernte</t>
  </si>
  <si>
    <t>Dämonenjäger</t>
  </si>
  <si>
    <t>verdrehter Mörder</t>
  </si>
  <si>
    <t>verstoßener Priester</t>
  </si>
  <si>
    <t>Leid</t>
  </si>
  <si>
    <t>Jack Bauer</t>
  </si>
  <si>
    <t>Roter Baron</t>
  </si>
  <si>
    <t>Kermak der Richter</t>
  </si>
  <si>
    <t>flinker Ork</t>
  </si>
  <si>
    <t>Grabräuber</t>
  </si>
  <si>
    <t>infizierter Ork</t>
  </si>
  <si>
    <t>orkischer Schildträger</t>
  </si>
  <si>
    <t>Sandork</t>
  </si>
  <si>
    <t>wütender Axtwerfer</t>
  </si>
  <si>
    <t>Gimlam</t>
  </si>
  <si>
    <t>Orkenhund</t>
  </si>
  <si>
    <t>orkischer Feuerschütze</t>
  </si>
  <si>
    <t>verdorbener Ork</t>
  </si>
  <si>
    <t>Gromsch der Drachentöter</t>
  </si>
  <si>
    <t>Orkenheld</t>
  </si>
  <si>
    <t>Kalim Argosh</t>
  </si>
  <si>
    <t>brennender Heuler</t>
  </si>
  <si>
    <t>Fresser</t>
  </si>
  <si>
    <t>Nestschützer</t>
  </si>
  <si>
    <t>Rudelsucher</t>
  </si>
  <si>
    <t>Varsillenwolf</t>
  </si>
  <si>
    <t>wilder Hund</t>
  </si>
  <si>
    <t>Druidenhüter</t>
  </si>
  <si>
    <t>Fleischwolf</t>
  </si>
  <si>
    <t>geisterhafter Wolf</t>
  </si>
  <si>
    <t>kräftiger Wolf</t>
  </si>
  <si>
    <t>Gurasul</t>
  </si>
  <si>
    <t>Wolfsmutter</t>
  </si>
  <si>
    <t>Das Pack</t>
  </si>
  <si>
    <t>Bärtiger</t>
  </si>
  <si>
    <t>Eiszapfenkanone</t>
  </si>
  <si>
    <t>Feuerwerg</t>
  </si>
  <si>
    <t>lahmer Alter</t>
  </si>
  <si>
    <t>Zwergenbeserker</t>
  </si>
  <si>
    <t>Zwergenkrieger</t>
  </si>
  <si>
    <t>Beilmeister</t>
  </si>
  <si>
    <t>mechanisches Geschütz</t>
  </si>
  <si>
    <t>Steinwerfer</t>
  </si>
  <si>
    <t>Zwerg vom Bierfest</t>
  </si>
  <si>
    <t>Trodar Wurfaxt</t>
  </si>
  <si>
    <t>Zwergenkatapult</t>
  </si>
  <si>
    <t>Gramek Platinklinge</t>
  </si>
  <si>
    <t>Erzürnter</t>
  </si>
  <si>
    <t>Dunkles Zehren</t>
  </si>
  <si>
    <t>kaltes Wesen</t>
  </si>
  <si>
    <t>Proll-tergeist</t>
  </si>
  <si>
    <t>Ruhestörer</t>
  </si>
  <si>
    <t>unruhiges Gespenst</t>
  </si>
  <si>
    <t>Wildfang</t>
  </si>
  <si>
    <t>blutdürstiger Recke</t>
  </si>
  <si>
    <t>Geist des Hausdrachen</t>
  </si>
  <si>
    <t>Schlachter</t>
  </si>
  <si>
    <t>Unterdrücker</t>
  </si>
  <si>
    <t>Kychus</t>
  </si>
  <si>
    <t>Spiritus Horror</t>
  </si>
  <si>
    <t>Akasha</t>
  </si>
  <si>
    <t>Dornenkrieger</t>
  </si>
  <si>
    <t>Gnomwerfer</t>
  </si>
  <si>
    <t>Grünling</t>
  </si>
  <si>
    <t>Titanenerbe</t>
  </si>
  <si>
    <t>Waldjäger</t>
  </si>
  <si>
    <t>Wipfelschwinger</t>
  </si>
  <si>
    <t>Astbrecher</t>
  </si>
  <si>
    <t>Protektor des Forstes</t>
  </si>
  <si>
    <t>Schlammbombe</t>
  </si>
  <si>
    <t>Trampel</t>
  </si>
  <si>
    <t>Waldgigant</t>
  </si>
  <si>
    <t>Baumbart</t>
  </si>
  <si>
    <t>Druidenrat</t>
  </si>
  <si>
    <t>Dornenkleid</t>
  </si>
  <si>
    <t>Oros Ekolm</t>
  </si>
  <si>
    <t>Chaoself</t>
  </si>
  <si>
    <t>Sonnengleiß</t>
  </si>
  <si>
    <t>Elfenpriester</t>
  </si>
  <si>
    <t>Sengende Kugel</t>
  </si>
  <si>
    <t>Feuerteufel</t>
  </si>
  <si>
    <t>Frostelf</t>
  </si>
  <si>
    <t>Frostnova</t>
  </si>
  <si>
    <t>Gelehrter</t>
  </si>
  <si>
    <t>Entwaffnung</t>
  </si>
  <si>
    <t>stabiler Elf</t>
  </si>
  <si>
    <t>Vision</t>
  </si>
  <si>
    <t>besessener Elf</t>
  </si>
  <si>
    <t>Energieball</t>
  </si>
  <si>
    <t>elfischer Phönixkrieger</t>
  </si>
  <si>
    <t>elfischer Waldläufer</t>
  </si>
  <si>
    <t>Klingensänger</t>
  </si>
  <si>
    <t>Elorim Feuerpfeil</t>
  </si>
  <si>
    <t>Schattenelf</t>
  </si>
  <si>
    <t>Meteoritenschauer</t>
  </si>
  <si>
    <t>Elara Dämonenpfeil</t>
  </si>
  <si>
    <t>brennender Rächer</t>
  </si>
  <si>
    <t>der Umgepolte</t>
  </si>
  <si>
    <t>Fallensteller</t>
  </si>
  <si>
    <t>Jäger</t>
  </si>
  <si>
    <t>Marodeur</t>
  </si>
  <si>
    <t>Veteran</t>
  </si>
  <si>
    <t>Drachenschlächter</t>
  </si>
  <si>
    <t>Gargoylefinder</t>
  </si>
  <si>
    <t>Hüter der Dämonen</t>
  </si>
  <si>
    <t>Wendigo</t>
  </si>
  <si>
    <t>Einzelgänger</t>
  </si>
  <si>
    <t>skrupelloser Anführer</t>
  </si>
  <si>
    <t>Woge des Hasses</t>
  </si>
  <si>
    <t>Vlad Dargmann</t>
  </si>
  <si>
    <t>Besessene</t>
  </si>
  <si>
    <t>fliegende Bestie</t>
  </si>
  <si>
    <t>Sukkubus</t>
  </si>
  <si>
    <t>Tochter des Eis</t>
  </si>
  <si>
    <t>Witwenmacherin</t>
  </si>
  <si>
    <t>Wolkenharpyie</t>
  </si>
  <si>
    <t>Charybdis</t>
  </si>
  <si>
    <t>Hasserfüllte Dämonin</t>
  </si>
  <si>
    <t>Lavawelle</t>
  </si>
  <si>
    <t>stille Schlächterin</t>
  </si>
  <si>
    <t>Verborgene</t>
  </si>
  <si>
    <t>Harpyienkönigin</t>
  </si>
  <si>
    <t>Blizzard</t>
  </si>
  <si>
    <t>Schicksalsengel</t>
  </si>
  <si>
    <t>Chastra Daemonis</t>
  </si>
  <si>
    <t>Krallenweitspringer</t>
  </si>
  <si>
    <t>Krallenschleuderer</t>
  </si>
  <si>
    <t>Kratzer</t>
  </si>
  <si>
    <t>Katzengriller</t>
  </si>
  <si>
    <t>Beseelter</t>
  </si>
  <si>
    <t>geplagte Seele</t>
  </si>
  <si>
    <t>Schänder</t>
  </si>
  <si>
    <t>Schlammblut</t>
  </si>
  <si>
    <t>Vampirkrieger</t>
  </si>
  <si>
    <t>Verteidiger der Kaste</t>
  </si>
  <si>
    <t>Blender</t>
  </si>
  <si>
    <t>Kundschafter</t>
  </si>
  <si>
    <t>Heiliger Schild</t>
  </si>
  <si>
    <t>Lister</t>
  </si>
  <si>
    <t>tollpatschiger Drachenvampir</t>
  </si>
  <si>
    <t>Blutschatten</t>
  </si>
  <si>
    <t>ehrwürdiger Vampir</t>
  </si>
  <si>
    <t>Erdspaltung</t>
  </si>
  <si>
    <t>Angelus</t>
  </si>
  <si>
    <t>Aschehaufen</t>
  </si>
  <si>
    <t>Diener der Flammen</t>
  </si>
  <si>
    <t>Erstarrter</t>
  </si>
  <si>
    <t>Gehörnter</t>
  </si>
  <si>
    <t>Magmagigant</t>
  </si>
  <si>
    <t>Magmakrieger</t>
  </si>
  <si>
    <t>Feuerspeier</t>
  </si>
  <si>
    <t>Lavadämon</t>
  </si>
  <si>
    <t>verstreute Asche</t>
  </si>
  <si>
    <t>Verteidiger des Kraters</t>
  </si>
  <si>
    <t>ewige Flamme</t>
  </si>
  <si>
    <t>Vulkanauswurf</t>
  </si>
  <si>
    <t>infernaler Entflammer</t>
  </si>
  <si>
    <t>Blindmull</t>
  </si>
  <si>
    <t>Mördermull</t>
  </si>
  <si>
    <t>Mullberserker</t>
  </si>
  <si>
    <t>Mullsoldat</t>
  </si>
  <si>
    <t>Speermull</t>
  </si>
  <si>
    <t>MOWL-wurf</t>
  </si>
  <si>
    <t>Mull des Nordens</t>
  </si>
  <si>
    <t>verrückter Gürtelmull</t>
  </si>
  <si>
    <t>wahnsinniger Killermull</t>
  </si>
  <si>
    <t>standhafter Mullmagus</t>
  </si>
  <si>
    <t>Urgestein</t>
  </si>
  <si>
    <t>Mullkönigin</t>
  </si>
  <si>
    <t>achtbeiniger Schrecken</t>
  </si>
  <si>
    <t>Glutspinner</t>
  </si>
  <si>
    <t>Köderkrabbler</t>
  </si>
  <si>
    <t>Netzspinner</t>
  </si>
  <si>
    <t>wilde Tarantel</t>
  </si>
  <si>
    <t>Höhlenspinne</t>
  </si>
  <si>
    <t>Magmaspinne</t>
  </si>
  <si>
    <t>Spiderpig</t>
  </si>
  <si>
    <t>Spuckspinne</t>
  </si>
  <si>
    <t>rote Witwe</t>
  </si>
  <si>
    <t>Webers Knecht</t>
  </si>
  <si>
    <t>Arachnida Omega</t>
  </si>
  <si>
    <t>Brutalo</t>
  </si>
  <si>
    <t>Brutalität</t>
  </si>
  <si>
    <t>Grauenvoller</t>
  </si>
  <si>
    <t>Gefallener</t>
  </si>
  <si>
    <t>Titanenfreund</t>
  </si>
  <si>
    <t>Göttersohn</t>
  </si>
  <si>
    <t>Göttliche Hand</t>
  </si>
  <si>
    <t>Halbblut</t>
  </si>
  <si>
    <t>     </t>
  </si>
  <si>
    <t>Draco</t>
  </si>
  <si>
    <t>wilder Drache</t>
  </si>
  <si>
    <t>wilder Eiswyrm</t>
  </si>
  <si>
    <t>wilder Felsdrache</t>
  </si>
  <si>
    <t>wilder Phönix</t>
  </si>
  <si>
    <t>wilder Thunderbird</t>
  </si>
  <si>
    <t>Flammenatem</t>
  </si>
  <si>
    <t>mystischer Drache</t>
  </si>
  <si>
    <t>Rhazzazor</t>
  </si>
  <si>
    <t>Tatzelwurm</t>
  </si>
  <si>
    <t>Chaosdrachenreiter</t>
  </si>
  <si>
    <t>Purpurdrache</t>
  </si>
  <si>
    <t>Königsdrache</t>
  </si>
  <si>
    <t>Geblendeter</t>
  </si>
  <si>
    <t>Späher anderer Welten</t>
  </si>
  <si>
    <t>Vereitler</t>
  </si>
  <si>
    <t>Glubschi</t>
  </si>
  <si>
    <t>Skylla</t>
  </si>
  <si>
    <t>Eiterauge</t>
  </si>
  <si>
    <t>Magischer Wall</t>
  </si>
  <si>
    <t>fliegendes Auge</t>
  </si>
  <si>
    <t>Weltenwind</t>
  </si>
  <si>
    <t>Monitor</t>
  </si>
  <si>
    <t>Karkinos</t>
  </si>
  <si>
    <t>Lernäische Schlange</t>
  </si>
  <si>
    <t>Neunköpfige</t>
  </si>
  <si>
    <t>Drachenkopfchimäre</t>
  </si>
  <si>
    <t>Siriusgleiter</t>
  </si>
  <si>
    <t>Twister</t>
  </si>
  <si>
    <t>Druidenkämpfer</t>
  </si>
  <si>
    <t>Druidenältester</t>
  </si>
  <si>
    <t>Zaubertrankbrauer</t>
  </si>
  <si>
    <t>Porry Hatter</t>
  </si>
  <si>
    <t>Grabwächter</t>
  </si>
  <si>
    <t>Hohepriester der Verderbnis</t>
  </si>
  <si>
    <t>Rost</t>
  </si>
  <si>
    <t>Schiefgewickelter</t>
  </si>
  <si>
    <t>brennende Mumie</t>
  </si>
  <si>
    <t>Riesenmumie</t>
  </si>
  <si>
    <t>Wiedergänger</t>
  </si>
  <si>
    <t>Diener Sets</t>
  </si>
  <si>
    <t>Inkarnation von Horus</t>
  </si>
  <si>
    <t>Anonymus</t>
  </si>
  <si>
    <t>namenloses Grauen</t>
  </si>
  <si>
    <t>verzehrende Flamme</t>
  </si>
  <si>
    <t>Formloser</t>
  </si>
  <si>
    <t>Gesichtsloser</t>
  </si>
  <si>
    <t>Nobody</t>
  </si>
  <si>
    <t>Weltenverschlinger</t>
  </si>
  <si>
    <t>Nameless</t>
  </si>
  <si>
    <t>Kaserne</t>
  </si>
  <si>
    <t>KP</t>
  </si>
  <si>
    <t>Friedhof</t>
  </si>
  <si>
    <t>Schattenportal</t>
  </si>
  <si>
    <t>Drachenhof</t>
  </si>
  <si>
    <t>Tempel</t>
  </si>
  <si>
    <t>Einheit</t>
  </si>
  <si>
    <t>Kreuzritter</t>
  </si>
  <si>
    <t>Lich</t>
  </si>
  <si>
    <t>Phönix</t>
  </si>
  <si>
    <t>Brennende Hände</t>
  </si>
  <si>
    <t>Magier</t>
  </si>
  <si>
    <t>Daily Quests</t>
  </si>
  <si>
    <t>Chimaira</t>
  </si>
  <si>
    <t>MUK</t>
  </si>
  <si>
    <t>Thurse</t>
  </si>
  <si>
    <t>Jötun</t>
  </si>
  <si>
    <t>Kostchtchie</t>
  </si>
  <si>
    <t>Daktyle</t>
  </si>
  <si>
    <t>Teufel</t>
  </si>
  <si>
    <t>Knochendrache</t>
  </si>
  <si>
    <t>Cerberus</t>
  </si>
  <si>
    <t>Typ</t>
  </si>
  <si>
    <t>Tier</t>
  </si>
  <si>
    <t>Maschine</t>
  </si>
  <si>
    <t>Geist</t>
  </si>
  <si>
    <t>Mensch</t>
  </si>
  <si>
    <t>Untot</t>
  </si>
  <si>
    <t>Dämon</t>
  </si>
  <si>
    <t>Drache</t>
  </si>
  <si>
    <t>Elementar</t>
  </si>
  <si>
    <t xml:space="preserve">König </t>
  </si>
  <si>
    <t>Bauer</t>
  </si>
  <si>
    <t>Wolf</t>
  </si>
  <si>
    <t>Mono-Effizienz</t>
  </si>
  <si>
    <t>Ress</t>
  </si>
  <si>
    <t>MW</t>
  </si>
  <si>
    <t>Akk</t>
  </si>
  <si>
    <t>Alc</t>
  </si>
  <si>
    <t>Skl</t>
  </si>
  <si>
    <t>WK</t>
  </si>
  <si>
    <t>Pal</t>
  </si>
  <si>
    <t>Σ</t>
  </si>
  <si>
    <t>Prod/
(Tick*Mine)</t>
  </si>
  <si>
    <t>Gott</t>
  </si>
  <si>
    <t>Menge</t>
  </si>
  <si>
    <t>Mana</t>
  </si>
  <si>
    <t>Gold (s)</t>
  </si>
  <si>
    <t>Holz (s)</t>
  </si>
  <si>
    <t>Silber (s)</t>
  </si>
  <si>
    <t>Nahrung (s)</t>
  </si>
  <si>
    <t>Erz (s)</t>
  </si>
  <si>
    <t>Holz (l)</t>
  </si>
  <si>
    <t>Silber (l)</t>
  </si>
  <si>
    <t>Nahrung (l)</t>
  </si>
  <si>
    <t>Gold (l)</t>
  </si>
  <si>
    <t>Erz (l)</t>
  </si>
  <si>
    <t>Avg. HP</t>
  </si>
  <si>
    <t>NDS</t>
  </si>
  <si>
    <t>S1</t>
  </si>
  <si>
    <t>S2</t>
  </si>
  <si>
    <t>Heilung</t>
  </si>
  <si>
    <t>Untote heilen</t>
  </si>
  <si>
    <t>Heilkosten neu [Gold]</t>
  </si>
  <si>
    <t>Transporter</t>
  </si>
  <si>
    <t>Türme</t>
  </si>
  <si>
    <t>Level</t>
  </si>
  <si>
    <t>Delta</t>
  </si>
  <si>
    <t>Base</t>
  </si>
  <si>
    <t>Forschung</t>
  </si>
  <si>
    <t>Kreaturenmagie</t>
  </si>
  <si>
    <t>Brennendes Blut</t>
  </si>
  <si>
    <t>Bonus</t>
  </si>
  <si>
    <t>Steinhaut</t>
  </si>
  <si>
    <t>Drachenhaut</t>
  </si>
  <si>
    <t>Drachenwut</t>
  </si>
  <si>
    <t>Dunkles Omen</t>
  </si>
  <si>
    <t>Geisterrüstung</t>
  </si>
  <si>
    <t>Höllenaura</t>
  </si>
  <si>
    <t>Verrotten</t>
  </si>
  <si>
    <t>Energiefocus</t>
  </si>
  <si>
    <t>Götterschild</t>
  </si>
  <si>
    <t>Heiliger Ritus</t>
  </si>
  <si>
    <t>Meditation</t>
  </si>
  <si>
    <t>Taktikzentrum</t>
  </si>
  <si>
    <t>Hospital</t>
  </si>
  <si>
    <t>Gruppenstraße</t>
  </si>
  <si>
    <t>Schmiedekunst</t>
  </si>
  <si>
    <t>Titan</t>
  </si>
  <si>
    <t>15 LP</t>
  </si>
  <si>
    <t>HP Avg</t>
  </si>
  <si>
    <t>Wappen</t>
  </si>
  <si>
    <t>Haupthaus</t>
  </si>
  <si>
    <t>Bonusminen</t>
  </si>
  <si>
    <r>
      <rPr>
        <sz val="11"/>
        <color theme="1"/>
        <rFont val="Calibri"/>
        <family val="2"/>
      </rPr>
      <t xml:space="preserve">Σ </t>
    </r>
    <r>
      <rPr>
        <sz val="11"/>
        <color theme="1"/>
        <rFont val="Calibri"/>
        <family val="2"/>
        <scheme val="minor"/>
      </rPr>
      <t>Boni</t>
    </r>
  </si>
  <si>
    <t>Palast</t>
  </si>
  <si>
    <t>Gottbonus</t>
  </si>
  <si>
    <t>Forschungskosten nächste Stufe</t>
  </si>
  <si>
    <t>Verbesserung auf nächster Stufe</t>
  </si>
  <si>
    <t>Heilkosten (aktuelle Stufe)</t>
  </si>
  <si>
    <t>Heilkosten (nächste Stufe)</t>
  </si>
  <si>
    <t>aktuelle Heilkosten 
pro MJ (aus Heilung)</t>
  </si>
  <si>
    <t>akt. Heilkosten pro MJ</t>
  </si>
  <si>
    <t>(aus Untote heilen)</t>
  </si>
  <si>
    <t>Dauer [MJs]</t>
  </si>
  <si>
    <t>Ersparnis pro MJ [Gold]</t>
  </si>
  <si>
    <t>Die Rohstoffwertigkeiten sind aus dem Handel abzuleiten (siehe Bild)</t>
  </si>
  <si>
    <t>Wie lange würde es dauern, bis sich das nächste Haupthaus refinanziert hätte?</t>
  </si>
  <si>
    <t>Gruppenzauber-Effizient</t>
  </si>
  <si>
    <t>Manakosten</t>
  </si>
  <si>
    <t>Menge /</t>
  </si>
  <si>
    <t>E</t>
  </si>
  <si>
    <t>G</t>
  </si>
  <si>
    <t>H</t>
  </si>
  <si>
    <t>N</t>
  </si>
  <si>
    <t>S</t>
  </si>
  <si>
    <t>Forschungskostenrechner</t>
  </si>
  <si>
    <t>Optimiertes Bauen</t>
  </si>
  <si>
    <t>Produktionsmagie</t>
  </si>
  <si>
    <t>Basiskosten</t>
  </si>
  <si>
    <t>Bibliothekstufe:</t>
  </si>
  <si>
    <t>Beschwörungen</t>
  </si>
  <si>
    <t>Drachenmagie</t>
  </si>
  <si>
    <t>Nekromantie</t>
  </si>
  <si>
    <t>Zunftmagie</t>
  </si>
  <si>
    <t>∞</t>
  </si>
  <si>
    <t>Technik</t>
  </si>
  <si>
    <t>Architektur</t>
  </si>
  <si>
    <t>Instandsetzung</t>
  </si>
  <si>
    <t>Restauration</t>
  </si>
  <si>
    <t>Verbesserte Geschütze</t>
  </si>
  <si>
    <t>Verstärkte Mauern</t>
  </si>
  <si>
    <t>Wallmagie</t>
  </si>
  <si>
    <t>Zinnen und Scharten</t>
  </si>
  <si>
    <t>Formationen</t>
  </si>
  <si>
    <t>Gestaffelt</t>
  </si>
  <si>
    <t>Phalanx</t>
  </si>
  <si>
    <t>Taktische Fähigkeiten</t>
  </si>
  <si>
    <t>Fährtenlesen</t>
  </si>
  <si>
    <t>Truppen aufspüren</t>
  </si>
  <si>
    <t>Effizienz</t>
  </si>
  <si>
    <t>Holzkarren</t>
  </si>
  <si>
    <t>Verstärkter Holzkarren</t>
  </si>
  <si>
    <t>Gigantischer Holzkarren</t>
  </si>
  <si>
    <t>Holz- und Steinhandwerk</t>
  </si>
  <si>
    <t>Verstärkung</t>
  </si>
  <si>
    <t>Kriegsmagie</t>
  </si>
  <si>
    <t>Elementarmagie</t>
  </si>
  <si>
    <t>Magische Bindung</t>
  </si>
  <si>
    <t>Magische Grube</t>
  </si>
  <si>
    <t>Wirbel</t>
  </si>
  <si>
    <t>Tornado</t>
  </si>
  <si>
    <t>Regeneration</t>
  </si>
  <si>
    <t>Schwarze Magie</t>
  </si>
  <si>
    <t>Weiße Magie</t>
  </si>
  <si>
    <t>Hemmung</t>
  </si>
  <si>
    <t>Robustheit</t>
  </si>
  <si>
    <t>Sakrale Verteidigung</t>
  </si>
  <si>
    <t>Kobold -02</t>
  </si>
  <si>
    <t>Unhold -04</t>
  </si>
  <si>
    <t>Axtwerfer -03</t>
  </si>
  <si>
    <t>Giftlaus -01</t>
  </si>
  <si>
    <t>Ork -06</t>
  </si>
  <si>
    <t xml:space="preserve">Söldner </t>
  </si>
  <si>
    <t>Schwertkämpfer</t>
  </si>
  <si>
    <t>Pikenier</t>
  </si>
  <si>
    <t>V. Holzkarren</t>
  </si>
  <si>
    <t>G. Holzkarren</t>
  </si>
  <si>
    <t>Goldwert pro Wappen</t>
  </si>
  <si>
    <t>Bewohner</t>
  </si>
  <si>
    <t>GW pro Wappen (ca)</t>
  </si>
  <si>
    <t>Kleinvieh I -A</t>
  </si>
  <si>
    <t>Kleinvieh I -B</t>
  </si>
  <si>
    <t>Kleinvieh I -C</t>
  </si>
  <si>
    <t>Kleinvieh I -D</t>
  </si>
  <si>
    <t>Sonstiges</t>
  </si>
  <si>
    <t>Zeitvertreib -A</t>
  </si>
  <si>
    <t>Zeitvertreib -B</t>
  </si>
  <si>
    <t>Zeitvertreib -C</t>
  </si>
  <si>
    <t>Zeitvertreib -D</t>
  </si>
  <si>
    <t>Geisterstunde -A</t>
  </si>
  <si>
    <t>Geisterstunde -B</t>
  </si>
  <si>
    <t>Geisterstunde -C</t>
  </si>
  <si>
    <t>Geisterstunde -D</t>
  </si>
  <si>
    <t>Tierisch - A</t>
  </si>
  <si>
    <t>Tierisch - B</t>
  </si>
  <si>
    <t>Tierisch - C</t>
  </si>
  <si>
    <t>Tierisch - D</t>
  </si>
  <si>
    <t>Mensch - A</t>
  </si>
  <si>
    <t>Mensch - B</t>
  </si>
  <si>
    <t>Mensch - C</t>
  </si>
  <si>
    <t>Mensch - D</t>
  </si>
  <si>
    <t>Ghul</t>
  </si>
  <si>
    <t>Djinn</t>
  </si>
  <si>
    <t>Gnom</t>
  </si>
  <si>
    <t>Todesengel</t>
  </si>
  <si>
    <t>Wyvern</t>
  </si>
  <si>
    <t>Kappa</t>
  </si>
  <si>
    <t>KPG</t>
  </si>
  <si>
    <t>Alraune</t>
  </si>
  <si>
    <t>Zwiebelchen</t>
  </si>
  <si>
    <t>Ingwerknolle</t>
  </si>
  <si>
    <t>Kartoffelchen</t>
  </si>
  <si>
    <t>Mandragon</t>
  </si>
  <si>
    <t>Pflanze</t>
  </si>
  <si>
    <t>Wolfbändiger</t>
  </si>
  <si>
    <t>Wüstenschamane</t>
  </si>
  <si>
    <t>Totengräber</t>
  </si>
  <si>
    <t>Iratus</t>
  </si>
  <si>
    <t>Hüter der ersten Ebene</t>
  </si>
  <si>
    <t>Hüter der zweiten Ebene</t>
  </si>
  <si>
    <t>Hüter der dritten Ebene</t>
  </si>
  <si>
    <t>König der Tiefe</t>
  </si>
  <si>
    <t>Gnom4D</t>
  </si>
  <si>
    <t>AgroGnom</t>
  </si>
  <si>
    <t>Agnomalie</t>
  </si>
  <si>
    <t>KarziGnom</t>
  </si>
  <si>
    <t>Benu</t>
  </si>
  <si>
    <t>Bodenkriecher</t>
  </si>
  <si>
    <t>Menschenreiniger</t>
  </si>
  <si>
    <t>Flamme des Himmels</t>
  </si>
  <si>
    <t>Sonnenuntergang</t>
  </si>
  <si>
    <t>Dryade</t>
  </si>
  <si>
    <t>Aladdins Flaschengeist</t>
  </si>
  <si>
    <t>Salomons Späher</t>
  </si>
  <si>
    <t>Geist von Bruce Lee</t>
  </si>
  <si>
    <t>Faquarl von Sparta</t>
  </si>
  <si>
    <t>Woge des Hasse</t>
  </si>
  <si>
    <t>Lambda</t>
  </si>
  <si>
    <t>Omikron</t>
  </si>
  <si>
    <t>Omega</t>
  </si>
  <si>
    <t>Eichenkuschlerin</t>
  </si>
  <si>
    <t>Dryadenpriesterin</t>
  </si>
  <si>
    <t>Cosplaying Pikenier</t>
  </si>
  <si>
    <t>Eithne</t>
  </si>
  <si>
    <t>20x</t>
  </si>
  <si>
    <t>Todesbengel</t>
  </si>
  <si>
    <t>Todesmuggel</t>
  </si>
  <si>
    <t>EhrENGELeit</t>
  </si>
  <si>
    <t>ArbeitslosENGELd</t>
  </si>
  <si>
    <t xml:space="preserve">                       30x</t>
  </si>
  <si>
    <t>GHULasch</t>
  </si>
  <si>
    <t>IrreGHUlärer</t>
  </si>
  <si>
    <t>GroßmoGHUL</t>
  </si>
  <si>
    <t>ReGHULator</t>
  </si>
  <si>
    <t>Balrog</t>
  </si>
  <si>
    <t>Gorgone</t>
  </si>
  <si>
    <t>Balrock</t>
  </si>
  <si>
    <t>Kaltrog</t>
  </si>
  <si>
    <t>Luftiges Rögchen</t>
  </si>
  <si>
    <t>Flamme von Gudrun</t>
  </si>
  <si>
    <t>Gorgonzola</t>
  </si>
  <si>
    <t>Gorgzilla</t>
  </si>
  <si>
    <t>Demagorge</t>
  </si>
  <si>
    <t>Medusa</t>
  </si>
  <si>
    <t>Waschbär</t>
  </si>
  <si>
    <t>Apokalypse</t>
  </si>
  <si>
    <t>erz</t>
  </si>
  <si>
    <t>gold</t>
  </si>
  <si>
    <t>holz</t>
  </si>
  <si>
    <t>nahrung</t>
  </si>
  <si>
    <t>silber</t>
  </si>
  <si>
    <t>Hexenkunst</t>
  </si>
  <si>
    <t>Drachenherz</t>
  </si>
  <si>
    <t>Pendeln</t>
  </si>
  <si>
    <t>Spiritismus</t>
  </si>
  <si>
    <t>Voodoo</t>
  </si>
  <si>
    <t>Unbesiegbarkeit</t>
  </si>
  <si>
    <t>max Stufe</t>
  </si>
  <si>
    <t>Kosten für nächste Stufe</t>
  </si>
  <si>
    <t>Aktuelle Stufe</t>
  </si>
  <si>
    <t>Produktionsgebäude</t>
  </si>
  <si>
    <t>Goldminen</t>
  </si>
  <si>
    <t>Erzminen</t>
  </si>
  <si>
    <t>Sägewerke</t>
  </si>
  <si>
    <t>Farmen</t>
  </si>
  <si>
    <t>Silberminen</t>
  </si>
  <si>
    <t>S3</t>
  </si>
  <si>
    <t>∑</t>
  </si>
  <si>
    <t>Bibliothek</t>
  </si>
  <si>
    <t>Rabatt</t>
  </si>
  <si>
    <t>MJs</t>
  </si>
  <si>
    <t>Heilung Amortisation</t>
  </si>
  <si>
    <t>Untote heilen Amortisation</t>
  </si>
  <si>
    <t>aktuelle Heilkosten</t>
  </si>
  <si>
    <t>Heilzaubereffizienz</t>
  </si>
  <si>
    <t>-&gt; Die Tage / MJs, die es dauern würde, bis sich die nächste Stufe ausgezahlt hätte.</t>
  </si>
  <si>
    <r>
      <t xml:space="preserve">Bedienungsanleitung: </t>
    </r>
    <r>
      <rPr>
        <sz val="11"/>
        <rFont val="Calibri"/>
        <family val="2"/>
        <scheme val="minor"/>
      </rPr>
      <t>Gelb hinterlegte Felder</t>
    </r>
    <r>
      <rPr>
        <sz val="11"/>
        <color rgb="FFFF0000"/>
        <rFont val="Calibri"/>
        <family val="2"/>
        <scheme val="minor"/>
      </rPr>
      <t xml:space="preserve"> sind manuell anzugeben. </t>
    </r>
    <r>
      <rPr>
        <sz val="11"/>
        <rFont val="Calibri"/>
        <family val="2"/>
        <scheme val="minor"/>
      </rPr>
      <t>Grüne Felder</t>
    </r>
    <r>
      <rPr>
        <sz val="11"/>
        <color rgb="FFFF0000"/>
        <rFont val="Calibri"/>
        <family val="2"/>
        <scheme val="minor"/>
      </rPr>
      <t xml:space="preserve"> sind das Endergebnis.</t>
    </r>
  </si>
  <si>
    <t>verstoßener Bauer -05</t>
  </si>
  <si>
    <t>Alraunen -07</t>
  </si>
  <si>
    <t>Waldriese -13</t>
  </si>
  <si>
    <t>Gnom -14</t>
  </si>
  <si>
    <t>Nachtelf -15</t>
  </si>
  <si>
    <t>Abtrünniger -16</t>
  </si>
  <si>
    <t>Killermull -24</t>
  </si>
  <si>
    <t>Nephilim -26</t>
  </si>
  <si>
    <t>Dryade -28</t>
  </si>
  <si>
    <t>Chaosdrache -29</t>
  </si>
  <si>
    <t>Beobachter -31</t>
  </si>
  <si>
    <t>Ghul -32</t>
  </si>
  <si>
    <t>Apokalypse -42</t>
  </si>
  <si>
    <t>Gebäude Bauzeit Rechner</t>
  </si>
  <si>
    <t>Gebäude</t>
  </si>
  <si>
    <t>Speicher</t>
  </si>
  <si>
    <t>Verteidigung</t>
  </si>
  <si>
    <t>Hexenküche</t>
  </si>
  <si>
    <t>Schmiede</t>
  </si>
  <si>
    <t>Grunddauer</t>
  </si>
  <si>
    <t>Zeitfaktor</t>
  </si>
  <si>
    <t>Bauzeit</t>
  </si>
  <si>
    <t>Bauzeit brutto</t>
  </si>
  <si>
    <t>[dd:hh:mm:ss]</t>
  </si>
  <si>
    <t>Gebäude Baukosten Rechner</t>
  </si>
  <si>
    <t>Level Rechner</t>
  </si>
  <si>
    <t>Normale Einheiten</t>
  </si>
  <si>
    <t>Rest</t>
  </si>
  <si>
    <t>Extraminen (max 20)</t>
  </si>
  <si>
    <t>Haupthaus S1</t>
  </si>
  <si>
    <t>Goldwert / Mana</t>
  </si>
  <si>
    <t>Opt. Bauen</t>
  </si>
  <si>
    <t>Baugeschw.</t>
  </si>
  <si>
    <t>Beschleunigung pro Stufe [%]</t>
  </si>
  <si>
    <t>Beschleunigung [%]</t>
  </si>
  <si>
    <t>Verteidigungsgrundlagen</t>
  </si>
  <si>
    <t>Festungstechnik</t>
  </si>
  <si>
    <t>Thunderbird</t>
  </si>
  <si>
    <t>Mithrilwerkzeug</t>
  </si>
  <si>
    <t>Bew. Alt</t>
  </si>
  <si>
    <t>Bew. Neu</t>
  </si>
  <si>
    <t>Ritualismus</t>
  </si>
  <si>
    <t>Monotheismus</t>
  </si>
  <si>
    <t>Körperbeherrschung</t>
  </si>
  <si>
    <t>Abhärtungstraining</t>
  </si>
  <si>
    <t>Ausdauertraining</t>
  </si>
  <si>
    <t>Muskeltraining</t>
  </si>
  <si>
    <t>Ballistik</t>
  </si>
  <si>
    <t>Statik</t>
  </si>
  <si>
    <t>Summe (neu)</t>
  </si>
  <si>
    <t>Summe (alt)</t>
  </si>
  <si>
    <t>flammende Theklar</t>
  </si>
  <si>
    <t>1000 AvEX</t>
  </si>
  <si>
    <t>Bauern (5)</t>
  </si>
  <si>
    <t>Abtrünnige (16)</t>
  </si>
  <si>
    <t>Todesengel (30)</t>
  </si>
  <si>
    <t>Giftlaus (1)</t>
  </si>
  <si>
    <t>Killermull (24)</t>
  </si>
  <si>
    <t>Hydra (34)</t>
  </si>
  <si>
    <t>Waschbären (41)</t>
  </si>
  <si>
    <t>wölfe (8)</t>
  </si>
  <si>
    <t>poltergeist (12)</t>
  </si>
  <si>
    <t>Zwerge (10)</t>
  </si>
  <si>
    <t>Mumien (39)</t>
  </si>
  <si>
    <t>Vampir (22)</t>
  </si>
  <si>
    <t>Haupthaus S2</t>
  </si>
  <si>
    <r>
      <rPr>
        <b/>
        <sz val="11"/>
        <color theme="1"/>
        <rFont val="Calibri"/>
        <family val="2"/>
        <scheme val="minor"/>
      </rPr>
      <t>Gott</t>
    </r>
    <r>
      <rPr>
        <sz val="11"/>
        <color theme="1"/>
        <rFont val="Calibri"/>
        <family val="2"/>
        <scheme val="minor"/>
      </rPr>
      <t xml:space="preserve"> (1=Erz, 2=Gold, 3 =Holz, 4=Nahrung, 5=Silber, 6=mix)</t>
    </r>
  </si>
  <si>
    <t>Bollwerk</t>
  </si>
  <si>
    <t>Opus caementitium</t>
  </si>
  <si>
    <t>Pyrotechnik</t>
  </si>
  <si>
    <t>Kas12</t>
  </si>
  <si>
    <t>Kas13</t>
  </si>
  <si>
    <t>erwarteter Schaden</t>
  </si>
  <si>
    <t>Anzahl der Ziele pro Runde</t>
  </si>
  <si>
    <t>Verteidiger:</t>
  </si>
  <si>
    <t>Angreifer:</t>
  </si>
  <si>
    <t>Schadensrechner</t>
  </si>
  <si>
    <t>min Roll</t>
  </si>
  <si>
    <t>max Roll</t>
  </si>
  <si>
    <t>min Crit</t>
  </si>
  <si>
    <t>max Crit</t>
  </si>
  <si>
    <t>Base Damage</t>
  </si>
  <si>
    <t>min</t>
  </si>
  <si>
    <t>max</t>
  </si>
  <si>
    <t>Schaden</t>
  </si>
  <si>
    <t>avg</t>
  </si>
  <si>
    <t>regulärer Schaden</t>
  </si>
  <si>
    <t>kritischer Treffer (4%)</t>
  </si>
  <si>
    <t>Nekro</t>
  </si>
  <si>
    <t>Vulc</t>
  </si>
  <si>
    <t>Polter</t>
  </si>
  <si>
    <t>Magma</t>
  </si>
  <si>
    <r>
      <t xml:space="preserve">Angreifer Bonus
</t>
    </r>
    <r>
      <rPr>
        <sz val="6"/>
        <color theme="1"/>
        <rFont val="Calibri"/>
        <family val="2"/>
        <scheme val="minor"/>
      </rPr>
      <t>(1 = Mensch, 2 = Untot, 
3 = Dämon, 4 = Drache, 
0 = kein)</t>
    </r>
  </si>
  <si>
    <t>Wyv Luft</t>
  </si>
  <si>
    <t>Wyv Erde</t>
  </si>
  <si>
    <t>Wyv Feuer</t>
  </si>
  <si>
    <t>Wyv Eis</t>
  </si>
  <si>
    <r>
      <t>Schaden an Monstern (</t>
    </r>
    <r>
      <rPr>
        <sz val="11"/>
        <color rgb="FFFF7C80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/ </t>
    </r>
    <r>
      <rPr>
        <sz val="11"/>
        <color rgb="FF92D050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)</t>
    </r>
  </si>
  <si>
    <t>Zauberschaden</t>
  </si>
  <si>
    <t>Monster-OHKO-Rechner</t>
  </si>
  <si>
    <t>Anz. D. Ziele pro Runde</t>
  </si>
  <si>
    <r>
      <t xml:space="preserve">Fernkampf
</t>
    </r>
    <r>
      <rPr>
        <sz val="6"/>
        <color theme="1"/>
        <rFont val="Calibri"/>
        <family val="2"/>
        <scheme val="minor"/>
      </rPr>
      <t>(1 = JA, 0 = NEIN) 
Hinweis: Fernkampf MUK ist immer 1</t>
    </r>
  </si>
  <si>
    <r>
      <t xml:space="preserve">Angriffselement
</t>
    </r>
    <r>
      <rPr>
        <sz val="6"/>
        <color theme="1"/>
        <rFont val="Calibri"/>
        <family val="2"/>
        <scheme val="minor"/>
      </rPr>
      <t>(1 = Feuer, 2 = Eis,
3 = Luft, 4 = Erde
0 = keines)</t>
    </r>
  </si>
  <si>
    <r>
      <t xml:space="preserve">Angreifer Bonus
</t>
    </r>
    <r>
      <rPr>
        <sz val="6"/>
        <color theme="1"/>
        <rFont val="Calibri"/>
        <family val="2"/>
        <scheme val="minor"/>
      </rPr>
      <t>(1 = Mensch, 2 = Untot, 
3 = Dämon, 4 = Drache, 
0 = keiner)</t>
    </r>
  </si>
  <si>
    <t>BASE
DAMAGE</t>
  </si>
  <si>
    <t>DAMAGE
 (mit Boni)</t>
  </si>
  <si>
    <t>Overkill (Schaden/HP)</t>
  </si>
  <si>
    <t>Anz. Ziele pro Runde</t>
  </si>
  <si>
    <t>Einheitenwerterechner</t>
  </si>
  <si>
    <t>Bonus/Stufe</t>
  </si>
  <si>
    <t>Dämonen</t>
  </si>
  <si>
    <t>Drachen</t>
  </si>
  <si>
    <t>Untote</t>
  </si>
  <si>
    <t>Menschen</t>
  </si>
  <si>
    <t>Gruppe</t>
  </si>
  <si>
    <t>Felsdrache</t>
  </si>
  <si>
    <t>Spähturm</t>
  </si>
  <si>
    <t>Erdwall</t>
  </si>
  <si>
    <t>Schützenturm</t>
  </si>
  <si>
    <t>Angespitzer Holzpfahl</t>
  </si>
  <si>
    <t>Boxturm</t>
  </si>
  <si>
    <t>Steinmauer</t>
  </si>
  <si>
    <t>Turm</t>
  </si>
  <si>
    <t>mix</t>
  </si>
  <si>
    <t>Brutzeit</t>
  </si>
  <si>
    <t>Faktor</t>
  </si>
  <si>
    <t>Kosten-faktor</t>
  </si>
  <si>
    <t>Kirchturm I</t>
  </si>
  <si>
    <t>Schuldturm I</t>
  </si>
  <si>
    <t>Drachenturm I</t>
  </si>
  <si>
    <t>Magierturm (T1)</t>
  </si>
  <si>
    <t>Druidenbastion (T3)</t>
  </si>
  <si>
    <t>Engelsturm (T2)</t>
  </si>
  <si>
    <t>inkl. Boni</t>
  </si>
  <si>
    <t>Dämonenturm I</t>
  </si>
  <si>
    <t>Drachenwall (2x)</t>
  </si>
  <si>
    <t>Dämonenwall (2x)</t>
  </si>
  <si>
    <t>Kathedralturm (2x)</t>
  </si>
  <si>
    <t>Justizturm (2x)</t>
  </si>
  <si>
    <t>Bew. 2024</t>
  </si>
  <si>
    <t>Bew. 2025</t>
  </si>
  <si>
    <t>LMIR</t>
  </si>
  <si>
    <t>Gastfeindlichkeit</t>
  </si>
  <si>
    <t>Patriotismus</t>
  </si>
  <si>
    <t>Aktion</t>
  </si>
  <si>
    <t>Reihen-folge</t>
  </si>
  <si>
    <t>Dauer [h:mm]</t>
  </si>
  <si>
    <t>Mo 19:14</t>
  </si>
  <si>
    <t>Technik (Transporter)</t>
  </si>
  <si>
    <t>Di 00:40</t>
  </si>
  <si>
    <t>Mo 18:58</t>
  </si>
  <si>
    <t>Mo 18:00</t>
  </si>
  <si>
    <t>Beschleu-nigungs-kosten (W)</t>
  </si>
  <si>
    <t>Technik (Formationen)</t>
  </si>
  <si>
    <t>Mo 19:24</t>
  </si>
  <si>
    <t>Mo 19:34</t>
  </si>
  <si>
    <t>Mo 19:44</t>
  </si>
  <si>
    <t>Hinweis</t>
  </si>
  <si>
    <t xml:space="preserve">Auf Ressourcenvorrat achten, ggf. warten auf MJs und Questbelohnungen. Dauerauftrag sicherstellen. </t>
  </si>
  <si>
    <t>Technik (Architektur)</t>
  </si>
  <si>
    <t>Mo 20:01</t>
  </si>
  <si>
    <t>Produktionsmagie (Wetterkontrolle)</t>
  </si>
  <si>
    <t>Mo 20:59</t>
  </si>
  <si>
    <t>Mo 21:33</t>
  </si>
  <si>
    <t>Produktionsmagie (Manawald)</t>
  </si>
  <si>
    <t>Mo 22:14</t>
  </si>
  <si>
    <t>Zeitpunkt des Baubeginns</t>
  </si>
  <si>
    <t>Di 04:00</t>
  </si>
  <si>
    <t>Mo 23:29</t>
  </si>
  <si>
    <t>Haupthaus 1</t>
  </si>
  <si>
    <t>Haupthaus 2</t>
  </si>
  <si>
    <t>Bibliothek 1</t>
  </si>
  <si>
    <t>Bibliothek 2</t>
  </si>
  <si>
    <t>Bibliothek 3</t>
  </si>
  <si>
    <t>Haupthaus 3</t>
  </si>
  <si>
    <t>Haupthaus 4</t>
  </si>
  <si>
    <t>Auftrag</t>
  </si>
  <si>
    <t>ab Bib 1</t>
  </si>
  <si>
    <t>ab Bib 2</t>
  </si>
  <si>
    <t>ab Bib 3</t>
  </si>
  <si>
    <t>ab Architektur</t>
  </si>
  <si>
    <t>Haupthaus 5</t>
  </si>
  <si>
    <t>ab HH 2</t>
  </si>
  <si>
    <t>ab HH 3</t>
  </si>
  <si>
    <t>ab HH 4</t>
  </si>
  <si>
    <t>Di 07:20</t>
  </si>
  <si>
    <t>Di 00:44</t>
  </si>
  <si>
    <t>Di 01:59</t>
  </si>
  <si>
    <t>Di 03:14</t>
  </si>
  <si>
    <t>Di 04:29</t>
  </si>
  <si>
    <t>Ressourcengebäude (61-80)</t>
  </si>
  <si>
    <t>Ressourcengebäude (41-60)</t>
  </si>
  <si>
    <t>Ressourcengebäude (1-40)</t>
  </si>
  <si>
    <t>Haupthaus 6</t>
  </si>
  <si>
    <t>Mo 23:12</t>
  </si>
  <si>
    <t>Di 01:46</t>
  </si>
  <si>
    <t>Di 05:24</t>
  </si>
  <si>
    <t>Di 10:10</t>
  </si>
  <si>
    <t>ab Opti 1</t>
  </si>
  <si>
    <t>Ressourcengebäude (81-100)</t>
  </si>
  <si>
    <t>ab HH 5</t>
  </si>
  <si>
    <t>Di 10:40</t>
  </si>
  <si>
    <t>Haupthaus 7</t>
  </si>
  <si>
    <t>Ressourcengebäude (101-120)</t>
  </si>
  <si>
    <t>ab HH 6</t>
  </si>
  <si>
    <t>Di 14:00</t>
  </si>
  <si>
    <t>Ressourcengebäude (121-140)</t>
  </si>
  <si>
    <t>ab HH 7</t>
  </si>
  <si>
    <t>Di 19:33</t>
  </si>
  <si>
    <t>Haupthaus 8</t>
  </si>
  <si>
    <t>ab hier forschen vorerst optional und je nach Strategie und Ressvorrat</t>
  </si>
  <si>
    <t>Zeitpunkt der Fertigstellung</t>
  </si>
  <si>
    <t>Tempel 1</t>
  </si>
  <si>
    <t>Di 11:57</t>
  </si>
  <si>
    <t>Di 18:00</t>
  </si>
  <si>
    <t>Mi 01:27</t>
  </si>
  <si>
    <t>Tempel 2</t>
  </si>
  <si>
    <t>Tempel 3</t>
  </si>
  <si>
    <t>Mi 05:16</t>
  </si>
  <si>
    <t>Mi 11:14</t>
  </si>
  <si>
    <t>Produktionsmagie (Akkord)</t>
  </si>
  <si>
    <t>Produktionsmagie (Alchemie)</t>
  </si>
  <si>
    <t>Produktionsmagie (Sklaverei)</t>
  </si>
  <si>
    <t>Produktionsmagie (Opti)</t>
  </si>
  <si>
    <t>Produktionsmagie (Mithrilwerkzeug)</t>
  </si>
  <si>
    <t>Lange Reise</t>
  </si>
  <si>
    <t>Lv 8</t>
  </si>
  <si>
    <t>Wildschweine</t>
  </si>
  <si>
    <t>Lv 9</t>
  </si>
  <si>
    <t>über Nacht Eier suchen</t>
  </si>
  <si>
    <t>morgens Gott wählen und opfern -&gt; Rührei</t>
  </si>
  <si>
    <t>ohne wuchtschlag</t>
  </si>
  <si>
    <t>Element Faktor</t>
  </si>
  <si>
    <t>Fk-Resistenz Faktor</t>
  </si>
  <si>
    <t>Typbonus Faktor</t>
  </si>
  <si>
    <t>*Reihe 1, 2 = 1 // Reihe 3 = 0,5</t>
  </si>
  <si>
    <t>Paladin</t>
  </si>
  <si>
    <t>Zwerg -08</t>
  </si>
  <si>
    <t>Poltergeist -09</t>
  </si>
  <si>
    <t>tollwütiger Wolf -10</t>
  </si>
  <si>
    <t>Nekromant -11</t>
  </si>
  <si>
    <t>Vulcaniden -12</t>
  </si>
  <si>
    <t>Eisharpyie -17</t>
  </si>
  <si>
    <t>Djinn -18</t>
  </si>
  <si>
    <t>Vampir -19</t>
  </si>
  <si>
    <t>Kappa -20</t>
  </si>
  <si>
    <t>Gorgone -21</t>
  </si>
  <si>
    <t>Benu -22</t>
  </si>
  <si>
    <t>Wyvern -23</t>
  </si>
  <si>
    <t>Siriusfalke -25</t>
  </si>
  <si>
    <t>Feuerspinne -27</t>
  </si>
  <si>
    <t>Elior -30</t>
  </si>
  <si>
    <t>Namenloser -41</t>
  </si>
  <si>
    <t>Gipfeldruide -40</t>
  </si>
  <si>
    <t>Waschbär -39</t>
  </si>
  <si>
    <t>Mumie -38</t>
  </si>
  <si>
    <t>Magmadämon -37</t>
  </si>
  <si>
    <t>Krallenspringer -36</t>
  </si>
  <si>
    <t>Hydra -35</t>
  </si>
  <si>
    <t>Todesengel -34</t>
  </si>
  <si>
    <t>Balrog -33</t>
  </si>
  <si>
    <t>2500hp</t>
  </si>
  <si>
    <t>Multihit</t>
  </si>
  <si>
    <t>*0,25 - 3</t>
  </si>
  <si>
    <t>*1 - 2</t>
  </si>
  <si>
    <t>*Reihe 1,2 = 1 // Reihe 3 = 0,6</t>
  </si>
  <si>
    <t>3. Reihe Faktor A</t>
  </si>
  <si>
    <t>3. Reihe Faktor V</t>
  </si>
  <si>
    <t>*0,5 - 1</t>
  </si>
  <si>
    <t>erf. Base AP</t>
  </si>
  <si>
    <t>Level-Split (AP/HP)</t>
  </si>
  <si>
    <t>10/0</t>
  </si>
  <si>
    <t>9/1</t>
  </si>
  <si>
    <t>8/2</t>
  </si>
  <si>
    <t>7/3</t>
  </si>
  <si>
    <t>6/4</t>
  </si>
  <si>
    <t>5/5</t>
  </si>
  <si>
    <t>4/6</t>
  </si>
  <si>
    <t>3/7</t>
  </si>
  <si>
    <t>2/8</t>
  </si>
  <si>
    <t>1/9</t>
  </si>
  <si>
    <t>0/10</t>
  </si>
  <si>
    <t>Kas11</t>
  </si>
  <si>
    <t>Fh11</t>
  </si>
  <si>
    <t>Fh12</t>
  </si>
  <si>
    <t>*FK ist immer 1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</si>
</sst>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0.0%"/>
    <numFmt numFmtId="167" formatCode="0.000%"/>
    <numFmt numFmtId="168" formatCode="[h]:mm:ss;@"/>
    <numFmt numFmtId="169" formatCode="d:hh:mm:ss;@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Bell MT"/>
      <family val="1"/>
    </font>
    <font>
      <b/>
      <u/>
      <sz val="11"/>
      <color theme="3" tint="0.3999755851924192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  <font>
      <u/>
      <sz val="11"/>
      <color theme="9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u/>
      <sz val="11"/>
      <color theme="9" tint="-0.499984740745262"/>
      <name val="Calibri"/>
      <family val="2"/>
      <scheme val="minor"/>
    </font>
    <font>
      <u/>
      <sz val="11"/>
      <color theme="9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7C80"/>
      <name val="Calibri"/>
      <family val="2"/>
      <scheme val="minor"/>
    </font>
    <font>
      <sz val="8"/>
      <color rgb="FFFF7C80"/>
      <name val="Calibri"/>
      <family val="2"/>
      <scheme val="minor"/>
    </font>
    <font>
      <sz val="8"/>
      <color rgb="FF92D050"/>
      <name val="Calibri"/>
      <family val="2"/>
      <scheme val="minor"/>
    </font>
    <font>
      <sz val="10"/>
      <color rgb="FFFF7C80"/>
      <name val="Calibri"/>
      <family val="2"/>
      <scheme val="minor"/>
    </font>
    <font>
      <sz val="10"/>
      <color rgb="FF92D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99CCFF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0"/>
      <color theme="1"/>
      <name val="Arial Unicode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FE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164" fontId="0" fillId="0" borderId="0" xfId="0" applyNumberFormat="1"/>
    <xf numFmtId="164" fontId="1" fillId="0" borderId="1" xfId="0" applyNumberFormat="1" applyFont="1" applyBorder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right"/>
    </xf>
    <xf numFmtId="0" fontId="6" fillId="0" borderId="0" xfId="0" applyFont="1" applyBorder="1"/>
    <xf numFmtId="0" fontId="1" fillId="0" borderId="2" xfId="0" applyFont="1" applyBorder="1"/>
    <xf numFmtId="0" fontId="7" fillId="0" borderId="8" xfId="0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0" fillId="0" borderId="13" xfId="0" applyBorder="1"/>
    <xf numFmtId="0" fontId="0" fillId="0" borderId="0" xfId="0" applyBorder="1"/>
    <xf numFmtId="0" fontId="0" fillId="0" borderId="5" xfId="0" applyBorder="1"/>
    <xf numFmtId="49" fontId="0" fillId="0" borderId="0" xfId="0" applyNumberFormat="1"/>
    <xf numFmtId="2" fontId="0" fillId="0" borderId="0" xfId="0" applyNumberFormat="1"/>
    <xf numFmtId="0" fontId="0" fillId="0" borderId="15" xfId="0" applyBorder="1"/>
    <xf numFmtId="0" fontId="8" fillId="0" borderId="0" xfId="0" applyFont="1"/>
    <xf numFmtId="0" fontId="11" fillId="0" borderId="0" xfId="0" applyFont="1"/>
    <xf numFmtId="165" fontId="0" fillId="0" borderId="0" xfId="0" applyNumberFormat="1"/>
    <xf numFmtId="0" fontId="7" fillId="0" borderId="16" xfId="0" applyFont="1" applyBorder="1"/>
    <xf numFmtId="0" fontId="7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2" xfId="0" applyFont="1" applyFill="1" applyBorder="1"/>
    <xf numFmtId="0" fontId="0" fillId="0" borderId="17" xfId="0" applyBorder="1"/>
    <xf numFmtId="0" fontId="6" fillId="0" borderId="10" xfId="0" applyFont="1" applyBorder="1"/>
    <xf numFmtId="0" fontId="6" fillId="0" borderId="11" xfId="0" applyFont="1" applyBorder="1"/>
    <xf numFmtId="165" fontId="0" fillId="0" borderId="10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0" fontId="0" fillId="0" borderId="12" xfId="0" applyBorder="1"/>
    <xf numFmtId="0" fontId="6" fillId="0" borderId="0" xfId="0" applyFont="1" applyBorder="1" applyAlignment="1">
      <alignment wrapText="1"/>
    </xf>
    <xf numFmtId="165" fontId="0" fillId="0" borderId="13" xfId="1" applyNumberFormat="1" applyFont="1" applyBorder="1"/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6" xfId="0" applyFont="1" applyBorder="1" applyAlignment="1">
      <alignment wrapText="1"/>
    </xf>
    <xf numFmtId="165" fontId="0" fillId="0" borderId="14" xfId="1" applyNumberFormat="1" applyFont="1" applyBorder="1"/>
    <xf numFmtId="0" fontId="0" fillId="0" borderId="7" xfId="0" applyBorder="1" applyAlignment="1">
      <alignment wrapText="1"/>
    </xf>
    <xf numFmtId="0" fontId="6" fillId="0" borderId="12" xfId="0" applyFont="1" applyBorder="1"/>
    <xf numFmtId="0" fontId="6" fillId="0" borderId="5" xfId="0" applyFont="1" applyBorder="1"/>
    <xf numFmtId="0" fontId="6" fillId="0" borderId="7" xfId="0" applyFont="1" applyBorder="1"/>
    <xf numFmtId="0" fontId="0" fillId="0" borderId="4" xfId="0" applyBorder="1" applyAlignment="1">
      <alignment wrapText="1"/>
    </xf>
    <xf numFmtId="0" fontId="0" fillId="0" borderId="7" xfId="0" applyBorder="1"/>
    <xf numFmtId="0" fontId="0" fillId="0" borderId="17" xfId="0" applyBorder="1" applyAlignment="1">
      <alignment wrapText="1"/>
    </xf>
    <xf numFmtId="0" fontId="0" fillId="0" borderId="3" xfId="0" applyBorder="1" applyAlignment="1"/>
    <xf numFmtId="3" fontId="6" fillId="0" borderId="6" xfId="0" applyNumberFormat="1" applyFont="1" applyBorder="1" applyAlignment="1">
      <alignment wrapText="1"/>
    </xf>
    <xf numFmtId="3" fontId="6" fillId="0" borderId="0" xfId="0" applyNumberFormat="1" applyFont="1" applyBorder="1" applyAlignment="1">
      <alignment wrapText="1"/>
    </xf>
    <xf numFmtId="0" fontId="0" fillId="0" borderId="9" xfId="0" applyBorder="1"/>
    <xf numFmtId="3" fontId="6" fillId="0" borderId="13" xfId="0" applyNumberFormat="1" applyFont="1" applyBorder="1" applyAlignment="1">
      <alignment wrapText="1"/>
    </xf>
    <xf numFmtId="3" fontId="6" fillId="0" borderId="14" xfId="0" applyNumberFormat="1" applyFont="1" applyBorder="1" applyAlignment="1">
      <alignment wrapText="1"/>
    </xf>
    <xf numFmtId="0" fontId="6" fillId="0" borderId="0" xfId="0" applyFont="1"/>
    <xf numFmtId="0" fontId="4" fillId="0" borderId="0" xfId="0" applyFont="1"/>
    <xf numFmtId="0" fontId="0" fillId="0" borderId="16" xfId="0" applyBorder="1"/>
    <xf numFmtId="0" fontId="0" fillId="0" borderId="8" xfId="0" applyBorder="1"/>
    <xf numFmtId="0" fontId="0" fillId="0" borderId="0" xfId="0" applyAlignment="1">
      <alignment horizontal="left"/>
    </xf>
    <xf numFmtId="3" fontId="6" fillId="0" borderId="10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" fillId="0" borderId="15" xfId="0" applyFont="1" applyBorder="1"/>
    <xf numFmtId="0" fontId="0" fillId="0" borderId="20" xfId="0" applyBorder="1"/>
    <xf numFmtId="0" fontId="0" fillId="0" borderId="1" xfId="0" applyBorder="1" applyAlignment="1"/>
    <xf numFmtId="0" fontId="0" fillId="0" borderId="22" xfId="0" applyBorder="1" applyAlignment="1"/>
    <xf numFmtId="0" fontId="0" fillId="0" borderId="21" xfId="0" applyBorder="1"/>
    <xf numFmtId="0" fontId="0" fillId="0" borderId="1" xfId="0" applyFill="1" applyBorder="1" applyAlignment="1"/>
    <xf numFmtId="0" fontId="0" fillId="0" borderId="0" xfId="0" applyFill="1"/>
    <xf numFmtId="0" fontId="0" fillId="0" borderId="0" xfId="0" applyFill="1" applyBorder="1"/>
    <xf numFmtId="0" fontId="6" fillId="0" borderId="13" xfId="0" applyFont="1" applyBorder="1"/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0" xfId="0" applyFont="1" applyFill="1" applyBorder="1"/>
    <xf numFmtId="0" fontId="6" fillId="0" borderId="11" xfId="0" applyFont="1" applyFill="1" applyBorder="1"/>
    <xf numFmtId="3" fontId="6" fillId="0" borderId="0" xfId="0" applyNumberFormat="1" applyFont="1" applyFill="1" applyBorder="1" applyAlignment="1">
      <alignment wrapText="1"/>
    </xf>
    <xf numFmtId="0" fontId="6" fillId="0" borderId="12" xfId="0" applyFont="1" applyFill="1" applyBorder="1"/>
    <xf numFmtId="3" fontId="6" fillId="0" borderId="6" xfId="0" applyNumberFormat="1" applyFont="1" applyFill="1" applyBorder="1" applyAlignment="1">
      <alignment wrapText="1"/>
    </xf>
    <xf numFmtId="3" fontId="6" fillId="0" borderId="11" xfId="0" applyNumberFormat="1" applyFont="1" applyFill="1" applyBorder="1" applyAlignment="1">
      <alignment wrapText="1"/>
    </xf>
    <xf numFmtId="3" fontId="6" fillId="0" borderId="13" xfId="0" applyNumberFormat="1" applyFont="1" applyFill="1" applyBorder="1" applyAlignment="1">
      <alignment wrapText="1"/>
    </xf>
    <xf numFmtId="3" fontId="6" fillId="0" borderId="14" xfId="0" applyNumberFormat="1" applyFont="1" applyFill="1" applyBorder="1" applyAlignment="1">
      <alignment wrapText="1"/>
    </xf>
    <xf numFmtId="0" fontId="8" fillId="0" borderId="11" xfId="0" applyFont="1" applyBorder="1"/>
    <xf numFmtId="0" fontId="8" fillId="0" borderId="6" xfId="0" applyFont="1" applyBorder="1"/>
    <xf numFmtId="0" fontId="13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165" fontId="0" fillId="0" borderId="9" xfId="0" applyNumberFormat="1" applyBorder="1"/>
    <xf numFmtId="0" fontId="0" fillId="0" borderId="0" xfId="0" applyAlignment="1"/>
    <xf numFmtId="0" fontId="13" fillId="0" borderId="0" xfId="0" applyFont="1" applyAlignment="1">
      <alignment wrapText="1"/>
    </xf>
    <xf numFmtId="2" fontId="13" fillId="0" borderId="0" xfId="0" applyNumberFormat="1" applyFont="1"/>
    <xf numFmtId="0" fontId="6" fillId="0" borderId="5" xfId="0" applyFont="1" applyBorder="1" applyAlignment="1">
      <alignment wrapText="1"/>
    </xf>
    <xf numFmtId="0" fontId="6" fillId="0" borderId="7" xfId="0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3" fontId="6" fillId="0" borderId="7" xfId="0" applyNumberFormat="1" applyFont="1" applyBorder="1" applyAlignment="1">
      <alignment wrapText="1"/>
    </xf>
    <xf numFmtId="3" fontId="6" fillId="0" borderId="5" xfId="0" applyNumberFormat="1" applyFont="1" applyFill="1" applyBorder="1" applyAlignment="1">
      <alignment wrapText="1"/>
    </xf>
    <xf numFmtId="3" fontId="6" fillId="0" borderId="7" xfId="0" applyNumberFormat="1" applyFont="1" applyFill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7" fillId="0" borderId="0" xfId="0" applyFont="1"/>
    <xf numFmtId="0" fontId="13" fillId="0" borderId="0" xfId="0" applyFont="1" applyBorder="1"/>
    <xf numFmtId="0" fontId="0" fillId="0" borderId="6" xfId="0" applyBorder="1"/>
    <xf numFmtId="0" fontId="11" fillId="0" borderId="0" xfId="0" applyFont="1" applyBorder="1"/>
    <xf numFmtId="0" fontId="0" fillId="0" borderId="26" xfId="0" applyBorder="1"/>
    <xf numFmtId="0" fontId="0" fillId="0" borderId="28" xfId="0" applyBorder="1"/>
    <xf numFmtId="0" fontId="1" fillId="0" borderId="0" xfId="0" applyFont="1" applyFill="1" applyBorder="1"/>
    <xf numFmtId="164" fontId="2" fillId="0" borderId="15" xfId="0" applyNumberFormat="1" applyFont="1" applyBorder="1" applyAlignment="1"/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13" fillId="0" borderId="0" xfId="0" applyFont="1" applyAlignment="1"/>
    <xf numFmtId="164" fontId="0" fillId="0" borderId="0" xfId="0" applyNumberFormat="1" applyBorder="1"/>
    <xf numFmtId="0" fontId="0" fillId="0" borderId="10" xfId="0" applyBorder="1"/>
    <xf numFmtId="0" fontId="0" fillId="0" borderId="11" xfId="0" applyBorder="1"/>
    <xf numFmtId="164" fontId="0" fillId="0" borderId="11" xfId="0" applyNumberFormat="1" applyBorder="1"/>
    <xf numFmtId="0" fontId="2" fillId="0" borderId="13" xfId="0" applyFont="1" applyBorder="1"/>
    <xf numFmtId="164" fontId="0" fillId="0" borderId="5" xfId="0" applyNumberFormat="1" applyBorder="1"/>
    <xf numFmtId="0" fontId="1" fillId="0" borderId="31" xfId="0" applyFont="1" applyBorder="1"/>
    <xf numFmtId="0" fontId="0" fillId="0" borderId="31" xfId="0" applyFill="1" applyBorder="1"/>
    <xf numFmtId="0" fontId="0" fillId="0" borderId="14" xfId="0" applyBorder="1"/>
    <xf numFmtId="164" fontId="0" fillId="0" borderId="6" xfId="0" applyNumberFormat="1" applyBorder="1"/>
    <xf numFmtId="0" fontId="0" fillId="0" borderId="0" xfId="0" applyBorder="1" applyAlignment="1">
      <alignment horizontal="right"/>
    </xf>
    <xf numFmtId="0" fontId="1" fillId="0" borderId="13" xfId="0" applyFont="1" applyBorder="1"/>
    <xf numFmtId="0" fontId="1" fillId="0" borderId="0" xfId="0" applyFont="1" applyBorder="1"/>
    <xf numFmtId="0" fontId="21" fillId="0" borderId="11" xfId="0" applyFont="1" applyBorder="1"/>
    <xf numFmtId="0" fontId="22" fillId="0" borderId="11" xfId="0" applyFont="1" applyBorder="1"/>
    <xf numFmtId="164" fontId="20" fillId="0" borderId="0" xfId="0" applyNumberFormat="1" applyFont="1" applyFill="1" applyBorder="1"/>
    <xf numFmtId="164" fontId="1" fillId="0" borderId="1" xfId="0" applyNumberFormat="1" applyFont="1" applyFill="1" applyBorder="1"/>
    <xf numFmtId="0" fontId="0" fillId="4" borderId="1" xfId="0" applyFill="1" applyBorder="1"/>
    <xf numFmtId="164" fontId="0" fillId="0" borderId="1" xfId="0" applyNumberFormat="1" applyFont="1" applyFill="1" applyBorder="1"/>
    <xf numFmtId="1" fontId="4" fillId="0" borderId="1" xfId="0" applyNumberFormat="1" applyFont="1" applyFill="1" applyBorder="1"/>
    <xf numFmtId="9" fontId="0" fillId="0" borderId="1" xfId="2" applyFont="1" applyBorder="1"/>
    <xf numFmtId="9" fontId="0" fillId="0" borderId="1" xfId="0" applyNumberFormat="1" applyBorder="1"/>
    <xf numFmtId="164" fontId="0" fillId="4" borderId="1" xfId="0" applyNumberFormat="1" applyFill="1" applyBorder="1"/>
    <xf numFmtId="0" fontId="22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8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1" fillId="0" borderId="15" xfId="0" applyFont="1" applyFill="1" applyBorder="1"/>
    <xf numFmtId="0" fontId="13" fillId="0" borderId="0" xfId="0" applyFont="1" applyAlignment="1">
      <alignment horizontal="center"/>
    </xf>
    <xf numFmtId="0" fontId="1" fillId="0" borderId="17" xfId="0" applyFont="1" applyFill="1" applyBorder="1"/>
    <xf numFmtId="0" fontId="11" fillId="0" borderId="13" xfId="0" applyFont="1" applyFill="1" applyBorder="1"/>
    <xf numFmtId="0" fontId="11" fillId="0" borderId="3" xfId="0" applyFont="1" applyFill="1" applyBorder="1"/>
    <xf numFmtId="0" fontId="10" fillId="0" borderId="13" xfId="0" applyFont="1" applyFill="1" applyBorder="1"/>
    <xf numFmtId="0" fontId="12" fillId="0" borderId="13" xfId="0" applyFont="1" applyFill="1" applyBorder="1"/>
    <xf numFmtId="0" fontId="9" fillId="0" borderId="14" xfId="0" applyFont="1" applyFill="1" applyBorder="1"/>
    <xf numFmtId="0" fontId="10" fillId="0" borderId="3" xfId="0" applyFont="1" applyFill="1" applyBorder="1"/>
    <xf numFmtId="0" fontId="12" fillId="0" borderId="3" xfId="0" applyFont="1" applyFill="1" applyBorder="1"/>
    <xf numFmtId="164" fontId="11" fillId="0" borderId="0" xfId="0" applyNumberFormat="1" applyFont="1"/>
    <xf numFmtId="164" fontId="4" fillId="0" borderId="0" xfId="0" applyNumberFormat="1" applyFont="1"/>
    <xf numFmtId="164" fontId="13" fillId="0" borderId="0" xfId="0" applyNumberFormat="1" applyFont="1"/>
    <xf numFmtId="1" fontId="13" fillId="0" borderId="0" xfId="0" applyNumberFormat="1" applyFont="1"/>
    <xf numFmtId="0" fontId="0" fillId="0" borderId="0" xfId="0" applyAlignment="1">
      <alignment horizontal="center" vertical="center"/>
    </xf>
    <xf numFmtId="165" fontId="11" fillId="0" borderId="0" xfId="1" applyNumberFormat="1" applyFont="1"/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1" fillId="0" borderId="3" xfId="0" applyFont="1" applyFill="1" applyBorder="1"/>
    <xf numFmtId="0" fontId="0" fillId="0" borderId="12" xfId="0" applyBorder="1" applyAlignment="1">
      <alignment wrapText="1"/>
    </xf>
    <xf numFmtId="0" fontId="1" fillId="0" borderId="4" xfId="0" applyFont="1" applyFill="1" applyBorder="1"/>
    <xf numFmtId="0" fontId="9" fillId="0" borderId="3" xfId="0" applyFont="1" applyFill="1" applyBorder="1"/>
    <xf numFmtId="165" fontId="0" fillId="0" borderId="16" xfId="1" applyNumberFormat="1" applyFont="1" applyBorder="1"/>
    <xf numFmtId="165" fontId="0" fillId="0" borderId="9" xfId="1" applyNumberFormat="1" applyFont="1" applyBorder="1"/>
    <xf numFmtId="0" fontId="6" fillId="0" borderId="8" xfId="0" applyFont="1" applyBorder="1"/>
    <xf numFmtId="0" fontId="6" fillId="0" borderId="9" xfId="0" applyFont="1" applyBorder="1"/>
    <xf numFmtId="3" fontId="6" fillId="0" borderId="16" xfId="0" applyNumberFormat="1" applyFont="1" applyBorder="1" applyAlignment="1">
      <alignment wrapText="1"/>
    </xf>
    <xf numFmtId="3" fontId="6" fillId="0" borderId="8" xfId="0" applyNumberFormat="1" applyFont="1" applyBorder="1" applyAlignment="1">
      <alignment wrapText="1"/>
    </xf>
    <xf numFmtId="3" fontId="6" fillId="0" borderId="9" xfId="0" applyNumberFormat="1" applyFont="1" applyBorder="1" applyAlignment="1">
      <alignment wrapText="1"/>
    </xf>
    <xf numFmtId="0" fontId="32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6" borderId="1" xfId="0" applyFill="1" applyBorder="1"/>
    <xf numFmtId="0" fontId="20" fillId="0" borderId="13" xfId="0" applyFont="1" applyBorder="1"/>
    <xf numFmtId="0" fontId="19" fillId="0" borderId="0" xfId="0" applyFont="1"/>
    <xf numFmtId="0" fontId="0" fillId="0" borderId="30" xfId="0" applyBorder="1"/>
    <xf numFmtId="1" fontId="0" fillId="0" borderId="1" xfId="0" applyNumberFormat="1" applyFill="1" applyBorder="1"/>
    <xf numFmtId="1" fontId="0" fillId="0" borderId="0" xfId="0" applyNumberFormat="1" applyFill="1" applyBorder="1"/>
    <xf numFmtId="1" fontId="0" fillId="2" borderId="3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4" borderId="36" xfId="0" applyNumberFormat="1" applyFont="1" applyFill="1" applyBorder="1" applyAlignment="1">
      <alignment horizontal="center"/>
    </xf>
    <xf numFmtId="164" fontId="1" fillId="4" borderId="37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9" fontId="0" fillId="0" borderId="0" xfId="2" applyFont="1" applyAlignment="1">
      <alignment horizontal="center"/>
    </xf>
    <xf numFmtId="0" fontId="0" fillId="0" borderId="38" xfId="0" applyBorder="1" applyAlignment="1"/>
    <xf numFmtId="0" fontId="0" fillId="0" borderId="23" xfId="0" applyBorder="1" applyAlignment="1"/>
    <xf numFmtId="0" fontId="3" fillId="0" borderId="0" xfId="0" applyFont="1" applyBorder="1"/>
    <xf numFmtId="0" fontId="0" fillId="0" borderId="5" xfId="0" applyBorder="1" applyAlignment="1"/>
    <xf numFmtId="165" fontId="0" fillId="0" borderId="5" xfId="1" applyNumberFormat="1" applyFont="1" applyBorder="1" applyAlignment="1"/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9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right"/>
    </xf>
    <xf numFmtId="0" fontId="22" fillId="0" borderId="0" xfId="0" applyFont="1" applyBorder="1"/>
    <xf numFmtId="0" fontId="0" fillId="0" borderId="0" xfId="0" applyFill="1" applyAlignment="1">
      <alignment horizontal="right"/>
    </xf>
    <xf numFmtId="0" fontId="1" fillId="0" borderId="30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1" fontId="0" fillId="4" borderId="1" xfId="0" applyNumberFormat="1" applyFill="1" applyBorder="1"/>
    <xf numFmtId="0" fontId="21" fillId="0" borderId="0" xfId="0" applyFont="1" applyBorder="1"/>
    <xf numFmtId="164" fontId="21" fillId="0" borderId="0" xfId="0" applyNumberFormat="1" applyFont="1"/>
    <xf numFmtId="165" fontId="0" fillId="0" borderId="1" xfId="1" applyNumberFormat="1" applyFont="1" applyBorder="1"/>
    <xf numFmtId="165" fontId="0" fillId="0" borderId="30" xfId="1" applyNumberFormat="1" applyFont="1" applyBorder="1"/>
    <xf numFmtId="165" fontId="0" fillId="4" borderId="2" xfId="1" applyNumberFormat="1" applyFont="1" applyFill="1" applyBorder="1"/>
    <xf numFmtId="49" fontId="34" fillId="0" borderId="0" xfId="0" applyNumberFormat="1" applyFont="1" applyAlignment="1"/>
    <xf numFmtId="168" fontId="0" fillId="0" borderId="0" xfId="0" applyNumberFormat="1"/>
    <xf numFmtId="0" fontId="35" fillId="0" borderId="0" xfId="0" applyFont="1" applyAlignment="1">
      <alignment horizontal="right"/>
    </xf>
    <xf numFmtId="0" fontId="36" fillId="0" borderId="0" xfId="0" applyFont="1"/>
    <xf numFmtId="0" fontId="8" fillId="0" borderId="0" xfId="0" applyFont="1" applyAlignment="1">
      <alignment horizontal="right"/>
    </xf>
    <xf numFmtId="0" fontId="8" fillId="0" borderId="8" xfId="0" applyFont="1" applyBorder="1"/>
    <xf numFmtId="168" fontId="8" fillId="0" borderId="11" xfId="0" applyNumberFormat="1" applyFont="1" applyBorder="1"/>
    <xf numFmtId="0" fontId="8" fillId="0" borderId="0" xfId="0" applyFont="1" applyBorder="1"/>
    <xf numFmtId="168" fontId="8" fillId="0" borderId="0" xfId="0" applyNumberFormat="1" applyFont="1" applyBorder="1"/>
    <xf numFmtId="168" fontId="8" fillId="0" borderId="6" xfId="0" applyNumberFormat="1" applyFont="1" applyBorder="1"/>
    <xf numFmtId="0" fontId="0" fillId="6" borderId="0" xfId="0" applyFill="1"/>
    <xf numFmtId="0" fontId="0" fillId="6" borderId="17" xfId="0" applyFill="1" applyBorder="1"/>
    <xf numFmtId="0" fontId="0" fillId="6" borderId="3" xfId="0" applyFill="1" applyBorder="1"/>
    <xf numFmtId="0" fontId="0" fillId="6" borderId="4" xfId="0" applyFill="1" applyBorder="1"/>
    <xf numFmtId="168" fontId="0" fillId="4" borderId="17" xfId="0" applyNumberFormat="1" applyFill="1" applyBorder="1"/>
    <xf numFmtId="168" fontId="0" fillId="4" borderId="3" xfId="0" applyNumberFormat="1" applyFill="1" applyBorder="1"/>
    <xf numFmtId="168" fontId="0" fillId="4" borderId="4" xfId="0" applyNumberFormat="1" applyFill="1" applyBorder="1"/>
    <xf numFmtId="169" fontId="0" fillId="4" borderId="2" xfId="0" applyNumberFormat="1" applyFill="1" applyBorder="1"/>
    <xf numFmtId="168" fontId="0" fillId="6" borderId="0" xfId="0" applyNumberFormat="1" applyFill="1"/>
    <xf numFmtId="0" fontId="0" fillId="0" borderId="10" xfId="0" applyBorder="1" applyAlignment="1">
      <alignment horizontal="center"/>
    </xf>
    <xf numFmtId="165" fontId="8" fillId="0" borderId="0" xfId="1" applyNumberFormat="1" applyFont="1"/>
    <xf numFmtId="164" fontId="8" fillId="0" borderId="0" xfId="0" applyNumberFormat="1" applyFont="1"/>
    <xf numFmtId="165" fontId="4" fillId="4" borderId="10" xfId="1" applyNumberFormat="1" applyFont="1" applyFill="1" applyBorder="1" applyAlignment="1">
      <alignment horizontal="right"/>
    </xf>
    <xf numFmtId="165" fontId="4" fillId="4" borderId="13" xfId="1" applyNumberFormat="1" applyFont="1" applyFill="1" applyBorder="1" applyAlignment="1">
      <alignment horizontal="right"/>
    </xf>
    <xf numFmtId="165" fontId="4" fillId="4" borderId="14" xfId="1" applyNumberFormat="1" applyFont="1" applyFill="1" applyBorder="1" applyAlignment="1">
      <alignment horizontal="right"/>
    </xf>
    <xf numFmtId="0" fontId="0" fillId="6" borderId="12" xfId="0" applyFill="1" applyBorder="1"/>
    <xf numFmtId="0" fontId="0" fillId="6" borderId="5" xfId="0" applyFill="1" applyBorder="1"/>
    <xf numFmtId="0" fontId="0" fillId="6" borderId="7" xfId="0" applyFill="1" applyBorder="1"/>
    <xf numFmtId="0" fontId="0" fillId="6" borderId="2" xfId="0" applyFill="1" applyBorder="1"/>
    <xf numFmtId="0" fontId="0" fillId="0" borderId="39" xfId="0" applyBorder="1" applyAlignment="1">
      <alignment horizontal="center"/>
    </xf>
    <xf numFmtId="0" fontId="0" fillId="6" borderId="40" xfId="0" applyFill="1" applyBorder="1" applyAlignment="1">
      <alignment horizontal="center"/>
    </xf>
    <xf numFmtId="1" fontId="0" fillId="4" borderId="34" xfId="0" applyNumberFormat="1" applyFill="1" applyBorder="1" applyAlignment="1">
      <alignment horizontal="center"/>
    </xf>
    <xf numFmtId="1" fontId="0" fillId="4" borderId="41" xfId="0" applyNumberForma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6" borderId="43" xfId="0" applyFill="1" applyBorder="1" applyAlignment="1">
      <alignment horizontal="center"/>
    </xf>
    <xf numFmtId="1" fontId="0" fillId="4" borderId="44" xfId="0" applyNumberFormat="1" applyFill="1" applyBorder="1" applyAlignment="1">
      <alignment horizontal="center"/>
    </xf>
    <xf numFmtId="1" fontId="0" fillId="4" borderId="45" xfId="0" applyNumberFormat="1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1" fontId="0" fillId="4" borderId="13" xfId="0" applyNumberFormat="1" applyFill="1" applyBorder="1" applyAlignment="1">
      <alignment horizontal="center"/>
    </xf>
    <xf numFmtId="1" fontId="0" fillId="4" borderId="14" xfId="0" applyNumberForma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6" borderId="47" xfId="0" applyFill="1" applyBorder="1" applyAlignment="1">
      <alignment horizontal="center"/>
    </xf>
    <xf numFmtId="1" fontId="0" fillId="4" borderId="20" xfId="0" applyNumberFormat="1" applyFill="1" applyBorder="1" applyAlignment="1">
      <alignment horizontal="center"/>
    </xf>
    <xf numFmtId="1" fontId="0" fillId="4" borderId="48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5" fontId="4" fillId="4" borderId="39" xfId="1" applyNumberFormat="1" applyFont="1" applyFill="1" applyBorder="1" applyAlignment="1">
      <alignment horizontal="right"/>
    </xf>
    <xf numFmtId="165" fontId="4" fillId="4" borderId="34" xfId="1" applyNumberFormat="1" applyFont="1" applyFill="1" applyBorder="1" applyAlignment="1">
      <alignment horizontal="right"/>
    </xf>
    <xf numFmtId="165" fontId="4" fillId="4" borderId="41" xfId="1" applyNumberFormat="1" applyFont="1" applyFill="1" applyBorder="1" applyAlignment="1">
      <alignment horizontal="right"/>
    </xf>
    <xf numFmtId="0" fontId="0" fillId="0" borderId="34" xfId="0" applyBorder="1"/>
    <xf numFmtId="165" fontId="4" fillId="4" borderId="46" xfId="1" applyNumberFormat="1" applyFont="1" applyFill="1" applyBorder="1" applyAlignment="1">
      <alignment horizontal="right"/>
    </xf>
    <xf numFmtId="165" fontId="4" fillId="4" borderId="20" xfId="1" applyNumberFormat="1" applyFont="1" applyFill="1" applyBorder="1" applyAlignment="1">
      <alignment horizontal="right"/>
    </xf>
    <xf numFmtId="165" fontId="4" fillId="4" borderId="48" xfId="1" applyNumberFormat="1" applyFont="1" applyFill="1" applyBorder="1" applyAlignment="1">
      <alignment horizontal="right"/>
    </xf>
    <xf numFmtId="0" fontId="0" fillId="0" borderId="44" xfId="0" applyBorder="1"/>
    <xf numFmtId="165" fontId="4" fillId="4" borderId="42" xfId="1" applyNumberFormat="1" applyFont="1" applyFill="1" applyBorder="1" applyAlignment="1">
      <alignment horizontal="right"/>
    </xf>
    <xf numFmtId="165" fontId="4" fillId="4" borderId="44" xfId="1" applyNumberFormat="1" applyFont="1" applyFill="1" applyBorder="1" applyAlignment="1">
      <alignment horizontal="right"/>
    </xf>
    <xf numFmtId="165" fontId="4" fillId="4" borderId="45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1" fontId="0" fillId="2" borderId="49" xfId="0" applyNumberFormat="1" applyFill="1" applyBorder="1" applyAlignment="1">
      <alignment horizontal="center"/>
    </xf>
    <xf numFmtId="165" fontId="0" fillId="0" borderId="0" xfId="1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4" borderId="1" xfId="2" applyFont="1" applyFill="1" applyBorder="1"/>
    <xf numFmtId="9" fontId="0" fillId="0" borderId="0" xfId="2" applyNumberFormat="1" applyFont="1"/>
    <xf numFmtId="9" fontId="0" fillId="4" borderId="2" xfId="2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Fill="1" applyBorder="1"/>
    <xf numFmtId="0" fontId="0" fillId="0" borderId="0" xfId="0" applyFont="1" applyFill="1"/>
    <xf numFmtId="0" fontId="11" fillId="0" borderId="20" xfId="0" applyFont="1" applyBorder="1"/>
    <xf numFmtId="0" fontId="11" fillId="0" borderId="30" xfId="0" applyFont="1" applyBorder="1"/>
    <xf numFmtId="0" fontId="13" fillId="0" borderId="30" xfId="0" applyFont="1" applyBorder="1"/>
    <xf numFmtId="0" fontId="13" fillId="0" borderId="20" xfId="0" applyFont="1" applyBorder="1"/>
    <xf numFmtId="0" fontId="13" fillId="0" borderId="21" xfId="0" applyFont="1" applyBorder="1"/>
    <xf numFmtId="0" fontId="11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21" xfId="0" applyFont="1" applyBorder="1"/>
    <xf numFmtId="0" fontId="38" fillId="0" borderId="1" xfId="0" applyFont="1" applyBorder="1"/>
    <xf numFmtId="0" fontId="8" fillId="0" borderId="1" xfId="0" applyFont="1" applyFill="1" applyBorder="1"/>
    <xf numFmtId="0" fontId="0" fillId="5" borderId="0" xfId="0" applyFill="1" applyAlignment="1">
      <alignment horizontal="right"/>
    </xf>
    <xf numFmtId="0" fontId="0" fillId="5" borderId="35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20" xfId="0" applyFill="1" applyBorder="1"/>
    <xf numFmtId="1" fontId="11" fillId="0" borderId="0" xfId="0" applyNumberFormat="1" applyFont="1"/>
    <xf numFmtId="1" fontId="11" fillId="0" borderId="1" xfId="0" applyNumberFormat="1" applyFont="1" applyBorder="1"/>
    <xf numFmtId="1" fontId="13" fillId="0" borderId="1" xfId="0" applyNumberFormat="1" applyFont="1" applyBorder="1"/>
    <xf numFmtId="1" fontId="6" fillId="0" borderId="5" xfId="0" applyNumberFormat="1" applyFont="1" applyBorder="1"/>
    <xf numFmtId="1" fontId="6" fillId="0" borderId="7" xfId="0" applyNumberFormat="1" applyFont="1" applyBorder="1"/>
    <xf numFmtId="0" fontId="8" fillId="0" borderId="15" xfId="0" applyFont="1" applyBorder="1"/>
    <xf numFmtId="0" fontId="37" fillId="0" borderId="0" xfId="0" applyFont="1"/>
    <xf numFmtId="0" fontId="0" fillId="6" borderId="17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26" xfId="0" applyBorder="1" applyAlignment="1">
      <alignment horizontal="right"/>
    </xf>
    <xf numFmtId="1" fontId="16" fillId="0" borderId="3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1" fontId="16" fillId="0" borderId="18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right"/>
    </xf>
    <xf numFmtId="1" fontId="16" fillId="0" borderId="19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right" wrapText="1"/>
    </xf>
    <xf numFmtId="0" fontId="16" fillId="0" borderId="23" xfId="0" applyFont="1" applyBorder="1" applyAlignment="1">
      <alignment horizontal="center" vertical="center"/>
    </xf>
    <xf numFmtId="0" fontId="36" fillId="0" borderId="0" xfId="0" applyFont="1" applyAlignment="1"/>
    <xf numFmtId="0" fontId="14" fillId="0" borderId="0" xfId="0" applyFont="1" applyBorder="1"/>
    <xf numFmtId="0" fontId="40" fillId="0" borderId="0" xfId="0" applyFont="1" applyBorder="1"/>
    <xf numFmtId="1" fontId="41" fillId="0" borderId="0" xfId="0" applyNumberFormat="1" applyFont="1" applyBorder="1"/>
    <xf numFmtId="0" fontId="41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1" fontId="41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5" fillId="0" borderId="19" xfId="0" applyFont="1" applyBorder="1" applyAlignment="1">
      <alignment horizontal="center"/>
    </xf>
    <xf numFmtId="1" fontId="15" fillId="0" borderId="18" xfId="0" applyNumberFormat="1" applyFont="1" applyBorder="1" applyAlignment="1">
      <alignment horizontal="center"/>
    </xf>
    <xf numFmtId="1" fontId="42" fillId="0" borderId="0" xfId="0" applyNumberFormat="1" applyFont="1" applyBorder="1" applyAlignment="1">
      <alignment horizontal="center"/>
    </xf>
    <xf numFmtId="1" fontId="43" fillId="0" borderId="18" xfId="0" applyNumberFormat="1" applyFont="1" applyBorder="1" applyAlignment="1">
      <alignment horizontal="center"/>
    </xf>
    <xf numFmtId="1" fontId="42" fillId="0" borderId="34" xfId="0" applyNumberFormat="1" applyFont="1" applyBorder="1" applyAlignment="1">
      <alignment horizontal="center"/>
    </xf>
    <xf numFmtId="1" fontId="41" fillId="0" borderId="15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15" fillId="0" borderId="19" xfId="0" applyNumberFormat="1" applyFont="1" applyBorder="1" applyAlignment="1">
      <alignment horizontal="center"/>
    </xf>
    <xf numFmtId="1" fontId="42" fillId="0" borderId="35" xfId="0" applyNumberFormat="1" applyFont="1" applyBorder="1" applyAlignment="1">
      <alignment horizontal="center"/>
    </xf>
    <xf numFmtId="1" fontId="43" fillId="0" borderId="19" xfId="0" applyNumberFormat="1" applyFont="1" applyBorder="1" applyAlignment="1">
      <alignment horizontal="center"/>
    </xf>
    <xf numFmtId="1" fontId="42" fillId="0" borderId="15" xfId="0" applyNumberFormat="1" applyFont="1" applyBorder="1" applyAlignment="1">
      <alignment horizontal="center"/>
    </xf>
    <xf numFmtId="2" fontId="44" fillId="0" borderId="34" xfId="0" applyNumberFormat="1" applyFont="1" applyBorder="1" applyAlignment="1">
      <alignment horizontal="center"/>
    </xf>
    <xf numFmtId="2" fontId="45" fillId="0" borderId="18" xfId="0" applyNumberFormat="1" applyFont="1" applyBorder="1" applyAlignment="1">
      <alignment horizontal="center"/>
    </xf>
    <xf numFmtId="2" fontId="44" fillId="0" borderId="0" xfId="0" applyNumberFormat="1" applyFont="1" applyBorder="1" applyAlignment="1">
      <alignment horizontal="center"/>
    </xf>
    <xf numFmtId="2" fontId="44" fillId="0" borderId="35" xfId="0" applyNumberFormat="1" applyFont="1" applyBorder="1" applyAlignment="1">
      <alignment horizontal="center"/>
    </xf>
    <xf numFmtId="2" fontId="45" fillId="0" borderId="19" xfId="0" applyNumberFormat="1" applyFont="1" applyBorder="1" applyAlignment="1">
      <alignment horizontal="center"/>
    </xf>
    <xf numFmtId="2" fontId="44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36" fillId="0" borderId="26" xfId="0" applyFont="1" applyBorder="1" applyAlignment="1"/>
    <xf numFmtId="1" fontId="36" fillId="0" borderId="0" xfId="0" applyNumberFormat="1" applyFont="1" applyBorder="1" applyAlignment="1">
      <alignment horizontal="center"/>
    </xf>
    <xf numFmtId="2" fontId="46" fillId="0" borderId="18" xfId="0" applyNumberFormat="1" applyFont="1" applyBorder="1" applyAlignment="1">
      <alignment horizontal="center"/>
    </xf>
    <xf numFmtId="2" fontId="46" fillId="0" borderId="1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1" fillId="4" borderId="53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1" fillId="0" borderId="0" xfId="0" applyFont="1"/>
    <xf numFmtId="0" fontId="38" fillId="0" borderId="15" xfId="0" applyFont="1" applyBorder="1"/>
    <xf numFmtId="9" fontId="8" fillId="0" borderId="0" xfId="2" applyFont="1" applyBorder="1"/>
    <xf numFmtId="166" fontId="8" fillId="0" borderId="0" xfId="2" applyNumberFormat="1" applyFont="1" applyBorder="1"/>
    <xf numFmtId="9" fontId="8" fillId="0" borderId="6" xfId="2" applyFont="1" applyBorder="1"/>
    <xf numFmtId="0" fontId="1" fillId="0" borderId="8" xfId="0" applyFont="1" applyBorder="1"/>
    <xf numFmtId="0" fontId="38" fillId="0" borderId="8" xfId="0" applyFont="1" applyBorder="1"/>
    <xf numFmtId="0" fontId="1" fillId="0" borderId="9" xfId="0" applyFont="1" applyBorder="1"/>
    <xf numFmtId="0" fontId="1" fillId="0" borderId="56" xfId="0" applyFont="1" applyBorder="1"/>
    <xf numFmtId="0" fontId="1" fillId="0" borderId="36" xfId="0" applyFont="1" applyBorder="1"/>
    <xf numFmtId="0" fontId="1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6" fontId="0" fillId="0" borderId="5" xfId="2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9" fontId="8" fillId="0" borderId="11" xfId="2" applyFont="1" applyBorder="1"/>
    <xf numFmtId="9" fontId="8" fillId="0" borderId="15" xfId="2" applyFont="1" applyBorder="1"/>
    <xf numFmtId="166" fontId="0" fillId="0" borderId="29" xfId="2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166" fontId="8" fillId="0" borderId="26" xfId="2" applyNumberFormat="1" applyFont="1" applyBorder="1"/>
    <xf numFmtId="166" fontId="0" fillId="0" borderId="27" xfId="2" applyNumberFormat="1" applyFont="1" applyBorder="1" applyAlignment="1">
      <alignment horizontal="center"/>
    </xf>
    <xf numFmtId="0" fontId="8" fillId="0" borderId="26" xfId="0" applyFont="1" applyBorder="1"/>
    <xf numFmtId="0" fontId="0" fillId="0" borderId="27" xfId="0" applyBorder="1" applyAlignment="1">
      <alignment horizontal="center"/>
    </xf>
    <xf numFmtId="166" fontId="8" fillId="0" borderId="15" xfId="2" applyNumberFormat="1" applyFont="1" applyBorder="1"/>
    <xf numFmtId="9" fontId="8" fillId="0" borderId="26" xfId="2" applyFont="1" applyBorder="1"/>
    <xf numFmtId="0" fontId="1" fillId="0" borderId="1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57" xfId="0" applyBorder="1"/>
    <xf numFmtId="0" fontId="0" fillId="0" borderId="22" xfId="0" applyBorder="1"/>
    <xf numFmtId="0" fontId="1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22" xfId="0" applyFont="1" applyBorder="1"/>
    <xf numFmtId="0" fontId="1" fillId="0" borderId="58" xfId="0" applyFont="1" applyBorder="1" applyAlignment="1">
      <alignment horizontal="center"/>
    </xf>
    <xf numFmtId="9" fontId="0" fillId="0" borderId="5" xfId="2" applyNumberFormat="1" applyFont="1" applyBorder="1" applyAlignment="1">
      <alignment horizontal="center"/>
    </xf>
    <xf numFmtId="9" fontId="0" fillId="0" borderId="7" xfId="2" applyNumberFormat="1" applyFont="1" applyBorder="1" applyAlignment="1">
      <alignment horizontal="center"/>
    </xf>
    <xf numFmtId="9" fontId="0" fillId="0" borderId="29" xfId="2" applyNumberFormat="1" applyFont="1" applyBorder="1" applyAlignment="1">
      <alignment horizontal="center"/>
    </xf>
    <xf numFmtId="9" fontId="0" fillId="0" borderId="27" xfId="2" applyNumberFormat="1" applyFont="1" applyBorder="1" applyAlignment="1">
      <alignment horizontal="center"/>
    </xf>
    <xf numFmtId="9" fontId="0" fillId="0" borderId="12" xfId="2" applyNumberFormat="1" applyFont="1" applyBorder="1" applyAlignment="1">
      <alignment horizontal="center"/>
    </xf>
    <xf numFmtId="0" fontId="0" fillId="8" borderId="50" xfId="0" applyFill="1" applyBorder="1"/>
    <xf numFmtId="0" fontId="0" fillId="8" borderId="18" xfId="0" applyFill="1" applyBorder="1"/>
    <xf numFmtId="1" fontId="0" fillId="8" borderId="0" xfId="0" applyNumberFormat="1" applyFill="1" applyBorder="1"/>
    <xf numFmtId="1" fontId="0" fillId="8" borderId="5" xfId="0" applyNumberFormat="1" applyFill="1" applyBorder="1"/>
    <xf numFmtId="0" fontId="0" fillId="8" borderId="51" xfId="0" applyFill="1" applyBorder="1"/>
    <xf numFmtId="0" fontId="0" fillId="8" borderId="19" xfId="0" applyFill="1" applyBorder="1"/>
    <xf numFmtId="1" fontId="0" fillId="8" borderId="15" xfId="0" applyNumberFormat="1" applyFill="1" applyBorder="1"/>
    <xf numFmtId="1" fontId="0" fillId="8" borderId="29" xfId="0" applyNumberFormat="1" applyFill="1" applyBorder="1"/>
    <xf numFmtId="0" fontId="0" fillId="9" borderId="50" xfId="0" applyFill="1" applyBorder="1"/>
    <xf numFmtId="0" fontId="0" fillId="9" borderId="18" xfId="0" applyFill="1" applyBorder="1"/>
    <xf numFmtId="1" fontId="0" fillId="9" borderId="0" xfId="0" applyNumberFormat="1" applyFill="1" applyBorder="1"/>
    <xf numFmtId="1" fontId="0" fillId="9" borderId="5" xfId="0" applyNumberFormat="1" applyFill="1" applyBorder="1"/>
    <xf numFmtId="0" fontId="0" fillId="9" borderId="51" xfId="0" applyFill="1" applyBorder="1"/>
    <xf numFmtId="0" fontId="0" fillId="9" borderId="19" xfId="0" applyFill="1" applyBorder="1"/>
    <xf numFmtId="1" fontId="0" fillId="9" borderId="15" xfId="0" applyNumberFormat="1" applyFill="1" applyBorder="1"/>
    <xf numFmtId="1" fontId="0" fillId="9" borderId="29" xfId="0" applyNumberFormat="1" applyFill="1" applyBorder="1"/>
    <xf numFmtId="0" fontId="0" fillId="7" borderId="50" xfId="0" applyFill="1" applyBorder="1"/>
    <xf numFmtId="0" fontId="0" fillId="7" borderId="18" xfId="0" applyFill="1" applyBorder="1"/>
    <xf numFmtId="1" fontId="0" fillId="7" borderId="0" xfId="0" applyNumberFormat="1" applyFill="1" applyBorder="1"/>
    <xf numFmtId="1" fontId="0" fillId="7" borderId="5" xfId="0" applyNumberFormat="1" applyFill="1" applyBorder="1"/>
    <xf numFmtId="0" fontId="0" fillId="7" borderId="52" xfId="0" applyFill="1" applyBorder="1"/>
    <xf numFmtId="0" fontId="0" fillId="7" borderId="54" xfId="0" applyFill="1" applyBorder="1"/>
    <xf numFmtId="1" fontId="0" fillId="7" borderId="6" xfId="0" applyNumberFormat="1" applyFill="1" applyBorder="1"/>
    <xf numFmtId="1" fontId="0" fillId="7" borderId="7" xfId="0" applyNumberFormat="1" applyFill="1" applyBorder="1"/>
    <xf numFmtId="0" fontId="0" fillId="6" borderId="50" xfId="0" applyFill="1" applyBorder="1"/>
    <xf numFmtId="0" fontId="0" fillId="6" borderId="18" xfId="0" applyFill="1" applyBorder="1"/>
    <xf numFmtId="1" fontId="0" fillId="6" borderId="0" xfId="0" applyNumberFormat="1" applyFill="1" applyBorder="1"/>
    <xf numFmtId="1" fontId="0" fillId="6" borderId="5" xfId="0" applyNumberFormat="1" applyFill="1" applyBorder="1"/>
    <xf numFmtId="0" fontId="0" fillId="6" borderId="51" xfId="0" applyFill="1" applyBorder="1"/>
    <xf numFmtId="0" fontId="0" fillId="6" borderId="19" xfId="0" applyFill="1" applyBorder="1"/>
    <xf numFmtId="1" fontId="0" fillId="6" borderId="15" xfId="0" applyNumberFormat="1" applyFill="1" applyBorder="1"/>
    <xf numFmtId="1" fontId="0" fillId="6" borderId="29" xfId="0" applyNumberFormat="1" applyFill="1" applyBorder="1"/>
    <xf numFmtId="0" fontId="0" fillId="10" borderId="50" xfId="0" applyFill="1" applyBorder="1"/>
    <xf numFmtId="0" fontId="0" fillId="10" borderId="18" xfId="0" applyFill="1" applyBorder="1"/>
    <xf numFmtId="1" fontId="0" fillId="10" borderId="0" xfId="0" applyNumberFormat="1" applyFill="1" applyBorder="1"/>
    <xf numFmtId="1" fontId="0" fillId="10" borderId="5" xfId="0" applyNumberFormat="1" applyFill="1" applyBorder="1"/>
    <xf numFmtId="0" fontId="0" fillId="10" borderId="51" xfId="0" applyFill="1" applyBorder="1"/>
    <xf numFmtId="0" fontId="0" fillId="10" borderId="19" xfId="0" applyFill="1" applyBorder="1"/>
    <xf numFmtId="1" fontId="0" fillId="10" borderId="15" xfId="0" applyNumberFormat="1" applyFill="1" applyBorder="1"/>
    <xf numFmtId="1" fontId="0" fillId="10" borderId="29" xfId="0" applyNumberFormat="1" applyFill="1" applyBorder="1"/>
    <xf numFmtId="0" fontId="13" fillId="6" borderId="46" xfId="0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3" fillId="6" borderId="55" xfId="0" applyFont="1" applyFill="1" applyBorder="1" applyAlignment="1">
      <alignment horizontal="center"/>
    </xf>
    <xf numFmtId="0" fontId="8" fillId="0" borderId="10" xfId="1" applyNumberFormat="1" applyFont="1" applyBorder="1" applyAlignment="1">
      <alignment horizontal="center"/>
    </xf>
    <xf numFmtId="0" fontId="8" fillId="0" borderId="11" xfId="1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8" fillId="0" borderId="13" xfId="1" applyNumberFormat="1" applyFont="1" applyBorder="1" applyAlignment="1">
      <alignment horizontal="center"/>
    </xf>
    <xf numFmtId="0" fontId="8" fillId="0" borderId="0" xfId="1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14" xfId="1" applyNumberFormat="1" applyFont="1" applyBorder="1" applyAlignment="1">
      <alignment horizontal="center"/>
    </xf>
    <xf numFmtId="0" fontId="8" fillId="0" borderId="6" xfId="1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9" fontId="47" fillId="0" borderId="0" xfId="2" applyFont="1" applyBorder="1" applyAlignment="1">
      <alignment horizontal="center"/>
    </xf>
    <xf numFmtId="9" fontId="47" fillId="0" borderId="11" xfId="2" applyFont="1" applyBorder="1" applyAlignment="1">
      <alignment horizontal="center"/>
    </xf>
    <xf numFmtId="9" fontId="47" fillId="0" borderId="12" xfId="2" applyFont="1" applyBorder="1" applyAlignment="1">
      <alignment horizontal="center"/>
    </xf>
    <xf numFmtId="9" fontId="47" fillId="0" borderId="5" xfId="2" applyFont="1" applyBorder="1" applyAlignment="1">
      <alignment horizontal="center"/>
    </xf>
    <xf numFmtId="9" fontId="47" fillId="0" borderId="6" xfId="2" applyFont="1" applyBorder="1" applyAlignment="1">
      <alignment horizontal="center"/>
    </xf>
    <xf numFmtId="9" fontId="47" fillId="0" borderId="7" xfId="2" applyFont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8" fillId="0" borderId="16" xfId="1" applyNumberFormat="1" applyFont="1" applyBorder="1" applyAlignment="1">
      <alignment horizontal="center"/>
    </xf>
    <xf numFmtId="9" fontId="47" fillId="0" borderId="8" xfId="2" applyFont="1" applyBorder="1" applyAlignment="1">
      <alignment horizontal="center"/>
    </xf>
    <xf numFmtId="0" fontId="8" fillId="0" borderId="8" xfId="1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9" fontId="47" fillId="0" borderId="9" xfId="2" applyFont="1" applyBorder="1" applyAlignment="1">
      <alignment horizontal="center"/>
    </xf>
    <xf numFmtId="165" fontId="4" fillId="4" borderId="16" xfId="1" applyNumberFormat="1" applyFont="1" applyFill="1" applyBorder="1" applyAlignment="1">
      <alignment horizontal="right"/>
    </xf>
    <xf numFmtId="165" fontId="4" fillId="4" borderId="53" xfId="1" applyNumberFormat="1" applyFont="1" applyFill="1" applyBorder="1" applyAlignment="1">
      <alignment horizontal="right"/>
    </xf>
    <xf numFmtId="165" fontId="4" fillId="4" borderId="37" xfId="1" applyNumberFormat="1" applyFont="1" applyFill="1" applyBorder="1" applyAlignment="1">
      <alignment horizontal="right"/>
    </xf>
    <xf numFmtId="165" fontId="4" fillId="4" borderId="59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0" borderId="53" xfId="0" applyFont="1" applyBorder="1"/>
    <xf numFmtId="1" fontId="0" fillId="6" borderId="34" xfId="0" applyNumberFormat="1" applyFill="1" applyBorder="1"/>
    <xf numFmtId="1" fontId="0" fillId="6" borderId="35" xfId="0" applyNumberFormat="1" applyFill="1" applyBorder="1"/>
    <xf numFmtId="1" fontId="0" fillId="10" borderId="34" xfId="0" applyNumberFormat="1" applyFill="1" applyBorder="1"/>
    <xf numFmtId="1" fontId="0" fillId="10" borderId="35" xfId="0" applyNumberFormat="1" applyFill="1" applyBorder="1"/>
    <xf numFmtId="1" fontId="0" fillId="9" borderId="34" xfId="0" applyNumberFormat="1" applyFill="1" applyBorder="1"/>
    <xf numFmtId="1" fontId="0" fillId="9" borderId="35" xfId="0" applyNumberFormat="1" applyFill="1" applyBorder="1"/>
    <xf numFmtId="1" fontId="0" fillId="8" borderId="34" xfId="0" applyNumberFormat="1" applyFill="1" applyBorder="1"/>
    <xf numFmtId="1" fontId="0" fillId="8" borderId="35" xfId="0" applyNumberFormat="1" applyFill="1" applyBorder="1"/>
    <xf numFmtId="1" fontId="0" fillId="7" borderId="34" xfId="0" applyNumberFormat="1" applyFill="1" applyBorder="1"/>
    <xf numFmtId="1" fontId="0" fillId="7" borderId="41" xfId="0" applyNumberFormat="1" applyFill="1" applyBorder="1"/>
    <xf numFmtId="0" fontId="15" fillId="0" borderId="0" xfId="0" applyFont="1"/>
    <xf numFmtId="0" fontId="34" fillId="0" borderId="8" xfId="0" applyFont="1" applyBorder="1"/>
    <xf numFmtId="0" fontId="15" fillId="6" borderId="0" xfId="0" applyFont="1" applyFill="1" applyBorder="1"/>
    <xf numFmtId="0" fontId="15" fillId="6" borderId="15" xfId="0" applyFont="1" applyFill="1" applyBorder="1"/>
    <xf numFmtId="0" fontId="15" fillId="10" borderId="0" xfId="0" applyFont="1" applyFill="1" applyBorder="1"/>
    <xf numFmtId="0" fontId="15" fillId="10" borderId="15" xfId="0" applyFont="1" applyFill="1" applyBorder="1"/>
    <xf numFmtId="0" fontId="15" fillId="9" borderId="0" xfId="0" applyFont="1" applyFill="1" applyBorder="1"/>
    <xf numFmtId="0" fontId="15" fillId="9" borderId="15" xfId="0" applyFont="1" applyFill="1" applyBorder="1"/>
    <xf numFmtId="0" fontId="15" fillId="8" borderId="0" xfId="0" applyFont="1" applyFill="1" applyBorder="1"/>
    <xf numFmtId="0" fontId="15" fillId="8" borderId="15" xfId="0" applyFont="1" applyFill="1" applyBorder="1"/>
    <xf numFmtId="0" fontId="15" fillId="7" borderId="0" xfId="0" applyFont="1" applyFill="1" applyBorder="1"/>
    <xf numFmtId="0" fontId="15" fillId="7" borderId="6" xfId="0" applyFont="1" applyFill="1" applyBorder="1"/>
    <xf numFmtId="0" fontId="34" fillId="0" borderId="37" xfId="0" applyFont="1" applyBorder="1"/>
    <xf numFmtId="0" fontId="15" fillId="6" borderId="20" xfId="0" applyFont="1" applyFill="1" applyBorder="1"/>
    <xf numFmtId="0" fontId="15" fillId="6" borderId="21" xfId="0" applyFont="1" applyFill="1" applyBorder="1"/>
    <xf numFmtId="0" fontId="15" fillId="10" borderId="20" xfId="0" applyFont="1" applyFill="1" applyBorder="1"/>
    <xf numFmtId="0" fontId="15" fillId="10" borderId="21" xfId="0" applyFont="1" applyFill="1" applyBorder="1"/>
    <xf numFmtId="0" fontId="15" fillId="9" borderId="20" xfId="0" applyFont="1" applyFill="1" applyBorder="1"/>
    <xf numFmtId="0" fontId="15" fillId="9" borderId="21" xfId="0" applyFont="1" applyFill="1" applyBorder="1"/>
    <xf numFmtId="0" fontId="15" fillId="8" borderId="20" xfId="0" applyFont="1" applyFill="1" applyBorder="1"/>
    <xf numFmtId="0" fontId="15" fillId="8" borderId="21" xfId="0" applyFont="1" applyFill="1" applyBorder="1"/>
    <xf numFmtId="0" fontId="15" fillId="7" borderId="20" xfId="0" applyFont="1" applyFill="1" applyBorder="1"/>
    <xf numFmtId="0" fontId="15" fillId="7" borderId="48" xfId="0" applyFont="1" applyFill="1" applyBorder="1"/>
    <xf numFmtId="0" fontId="48" fillId="0" borderId="0" xfId="0" applyFont="1"/>
    <xf numFmtId="0" fontId="48" fillId="0" borderId="0" xfId="0" applyFont="1" applyAlignment="1">
      <alignment horizontal="center"/>
    </xf>
    <xf numFmtId="0" fontId="48" fillId="0" borderId="0" xfId="0" applyFont="1" applyFill="1" applyBorder="1" applyAlignment="1">
      <alignment wrapText="1"/>
    </xf>
    <xf numFmtId="1" fontId="48" fillId="0" borderId="0" xfId="0" applyNumberFormat="1" applyFont="1"/>
    <xf numFmtId="1" fontId="48" fillId="0" borderId="1" xfId="0" applyNumberFormat="1" applyFont="1" applyBorder="1"/>
    <xf numFmtId="0" fontId="11" fillId="11" borderId="0" xfId="0" applyFont="1" applyFill="1"/>
    <xf numFmtId="0" fontId="11" fillId="11" borderId="0" xfId="0" applyFont="1" applyFill="1" applyAlignment="1">
      <alignment horizontal="center"/>
    </xf>
    <xf numFmtId="0" fontId="11" fillId="11" borderId="0" xfId="0" applyFont="1" applyFill="1" applyBorder="1" applyAlignment="1">
      <alignment wrapText="1"/>
    </xf>
    <xf numFmtId="0" fontId="41" fillId="0" borderId="0" xfId="0" applyFont="1"/>
    <xf numFmtId="0" fontId="0" fillId="0" borderId="1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20" fontId="0" fillId="0" borderId="0" xfId="0" applyNumberFormat="1"/>
    <xf numFmtId="0" fontId="0" fillId="0" borderId="0" xfId="0" applyAlignment="1">
      <alignment horizontal="right" wrapText="1"/>
    </xf>
    <xf numFmtId="20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6" borderId="4" xfId="0" applyFill="1" applyBorder="1" applyAlignment="1">
      <alignment horizontal="center"/>
    </xf>
    <xf numFmtId="0" fontId="36" fillId="0" borderId="0" xfId="0" applyFont="1" applyAlignment="1">
      <alignment horizontal="right"/>
    </xf>
    <xf numFmtId="0" fontId="0" fillId="0" borderId="0" xfId="0" applyFill="1" applyBorder="1" applyAlignment="1">
      <alignment horizontal="right"/>
    </xf>
    <xf numFmtId="0" fontId="36" fillId="0" borderId="0" xfId="0" applyFont="1" applyAlignment="1">
      <alignment horizontal="left"/>
    </xf>
    <xf numFmtId="0" fontId="0" fillId="6" borderId="13" xfId="0" applyFill="1" applyBorder="1"/>
    <xf numFmtId="0" fontId="0" fillId="6" borderId="34" xfId="0" applyFill="1" applyBorder="1"/>
    <xf numFmtId="0" fontId="15" fillId="6" borderId="34" xfId="0" applyFont="1" applyFill="1" applyBorder="1"/>
    <xf numFmtId="49" fontId="36" fillId="0" borderId="0" xfId="0" applyNumberFormat="1" applyFont="1"/>
    <xf numFmtId="0" fontId="49" fillId="0" borderId="0" xfId="0" applyFont="1"/>
    <xf numFmtId="0" fontId="0" fillId="0" borderId="0" xfId="0" applyAlignment="1">
      <alignment horizontal="center"/>
    </xf>
    <xf numFmtId="0" fontId="0" fillId="12" borderId="0" xfId="0" applyFill="1" applyAlignment="1">
      <alignment horizontal="left"/>
    </xf>
    <xf numFmtId="20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right"/>
    </xf>
    <xf numFmtId="0" fontId="0" fillId="12" borderId="0" xfId="0" applyFill="1" applyAlignment="1">
      <alignment horizontal="center"/>
    </xf>
    <xf numFmtId="0" fontId="0" fillId="0" borderId="0" xfId="0" applyAlignment="1">
      <alignment horizontal="right"/>
    </xf>
    <xf numFmtId="49" fontId="36" fillId="0" borderId="0" xfId="0" applyNumberFormat="1" applyFont="1" applyAlignment="1"/>
    <xf numFmtId="0" fontId="0" fillId="0" borderId="0" xfId="0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1" fillId="0" borderId="30" xfId="0" applyNumberFormat="1" applyFont="1" applyFill="1" applyBorder="1" applyAlignment="1">
      <alignment horizontal="center" wrapText="1"/>
    </xf>
    <xf numFmtId="164" fontId="1" fillId="0" borderId="21" xfId="0" applyNumberFormat="1" applyFont="1" applyFill="1" applyBorder="1" applyAlignment="1">
      <alignment horizontal="center" wrapText="1"/>
    </xf>
    <xf numFmtId="164" fontId="0" fillId="0" borderId="30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" fontId="0" fillId="4" borderId="30" xfId="0" applyNumberFormat="1" applyFill="1" applyBorder="1" applyAlignment="1">
      <alignment horizontal="center" vertical="center"/>
    </xf>
    <xf numFmtId="1" fontId="0" fillId="4" borderId="20" xfId="0" applyNumberFormat="1" applyFill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67" fontId="0" fillId="0" borderId="30" xfId="2" applyNumberFormat="1" applyFont="1" applyFill="1" applyBorder="1" applyAlignment="1">
      <alignment horizontal="center" vertical="center"/>
    </xf>
    <xf numFmtId="167" fontId="0" fillId="0" borderId="20" xfId="2" applyNumberFormat="1" applyFont="1" applyFill="1" applyBorder="1" applyAlignment="1">
      <alignment horizontal="center" vertical="center"/>
    </xf>
    <xf numFmtId="167" fontId="0" fillId="0" borderId="21" xfId="2" applyNumberFormat="1" applyFont="1" applyFill="1" applyBorder="1" applyAlignment="1">
      <alignment horizontal="center" vertical="center"/>
    </xf>
    <xf numFmtId="2" fontId="0" fillId="0" borderId="30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36" fillId="0" borderId="38" xfId="0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2" fontId="36" fillId="0" borderId="15" xfId="0" applyNumberFormat="1" applyFont="1" applyBorder="1" applyAlignment="1">
      <alignment horizontal="center"/>
    </xf>
    <xf numFmtId="2" fontId="36" fillId="0" borderId="35" xfId="0" applyNumberFormat="1" applyFont="1" applyBorder="1" applyAlignment="1">
      <alignment horizontal="center"/>
    </xf>
    <xf numFmtId="2" fontId="36" fillId="0" borderId="19" xfId="0" applyNumberFormat="1" applyFont="1" applyBorder="1" applyAlignment="1">
      <alignment horizontal="center"/>
    </xf>
    <xf numFmtId="2" fontId="36" fillId="0" borderId="0" xfId="0" applyNumberFormat="1" applyFont="1" applyBorder="1" applyAlignment="1">
      <alignment horizontal="center"/>
    </xf>
    <xf numFmtId="2" fontId="36" fillId="0" borderId="34" xfId="0" applyNumberFormat="1" applyFont="1" applyBorder="1" applyAlignment="1">
      <alignment horizontal="center"/>
    </xf>
    <xf numFmtId="2" fontId="36" fillId="0" borderId="18" xfId="0" applyNumberFormat="1" applyFont="1" applyBorder="1" applyAlignment="1">
      <alignment horizontal="center"/>
    </xf>
    <xf numFmtId="1" fontId="36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36" fillId="0" borderId="34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6" fillId="0" borderId="35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1" fontId="36" fillId="0" borderId="38" xfId="0" applyNumberFormat="1" applyFont="1" applyBorder="1" applyAlignment="1">
      <alignment horizontal="center"/>
    </xf>
    <xf numFmtId="1" fontId="36" fillId="0" borderId="2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textRotation="90"/>
    </xf>
    <xf numFmtId="1" fontId="36" fillId="0" borderId="22" xfId="0" applyNumberFormat="1" applyFont="1" applyBorder="1" applyAlignment="1">
      <alignment horizontal="center"/>
    </xf>
    <xf numFmtId="1" fontId="36" fillId="0" borderId="34" xfId="0" applyNumberFormat="1" applyFont="1" applyBorder="1" applyAlignment="1">
      <alignment horizontal="center"/>
    </xf>
    <xf numFmtId="1" fontId="36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right"/>
    </xf>
    <xf numFmtId="1" fontId="36" fillId="0" borderId="35" xfId="0" applyNumberFormat="1" applyFont="1" applyBorder="1" applyAlignment="1">
      <alignment horizontal="center"/>
    </xf>
    <xf numFmtId="1" fontId="36" fillId="0" borderId="19" xfId="0" applyNumberFormat="1" applyFont="1" applyBorder="1" applyAlignment="1">
      <alignment horizontal="center"/>
    </xf>
    <xf numFmtId="1" fontId="36" fillId="0" borderId="15" xfId="0" applyNumberFormat="1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45"/>
    </xf>
    <xf numFmtId="0" fontId="0" fillId="0" borderId="28" xfId="0" applyBorder="1" applyAlignment="1">
      <alignment horizontal="center" vertical="center" textRotation="45"/>
    </xf>
    <xf numFmtId="0" fontId="0" fillId="0" borderId="14" xfId="0" applyBorder="1" applyAlignment="1">
      <alignment horizontal="center" vertical="center" textRotation="45"/>
    </xf>
    <xf numFmtId="0" fontId="15" fillId="0" borderId="0" xfId="0" applyFont="1" applyAlignment="1">
      <alignment horizontal="center"/>
    </xf>
    <xf numFmtId="0" fontId="0" fillId="0" borderId="25" xfId="0" applyBorder="1" applyAlignment="1">
      <alignment horizontal="center" vertical="center" textRotation="45"/>
    </xf>
    <xf numFmtId="0" fontId="0" fillId="0" borderId="10" xfId="0" applyBorder="1" applyAlignment="1">
      <alignment horizontal="center" vertical="center" textRotation="45"/>
    </xf>
    <xf numFmtId="0" fontId="9" fillId="0" borderId="13" xfId="0" applyFont="1" applyFill="1" applyBorder="1"/>
    <xf numFmtId="0" fontId="10" fillId="0" borderId="14" xfId="0" applyFont="1" applyFill="1" applyBorder="1"/>
    <xf numFmtId="0" fontId="11" fillId="0" borderId="14" xfId="0" applyFont="1" applyFill="1" applyBorder="1"/>
    <xf numFmtId="0" fontId="12" fillId="0" borderId="14" xfId="0" applyFont="1" applyFill="1" applyBorder="1"/>
    <xf numFmtId="0" fontId="9" fillId="0" borderId="4" xfId="0" applyFont="1" applyFill="1" applyBorder="1"/>
  </cellXfs>
  <cellStyles count="3">
    <cellStyle name="Dezimal" xfId="1" builtinId="3"/>
    <cellStyle name="Prozent" xfId="2" builtinId="5"/>
    <cellStyle name="Standard" xfId="0" builtinId="0"/>
  </cellStyles>
  <dxfs count="7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7FFE5"/>
      <color rgb="FFFFCCFF"/>
      <color rgb="FF99CCFF"/>
      <color rgb="FFFF3399"/>
      <color rgb="FFFF7C80"/>
      <color rgb="FFFFFFCC"/>
      <color rgb="FFFFC5C5"/>
      <color rgb="FF777777"/>
      <color rgb="FFB29091"/>
      <color rgb="FFFDB8B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gif"/><Relationship Id="rId13" Type="http://schemas.openxmlformats.org/officeDocument/2006/relationships/image" Target="../media/image14.gif"/><Relationship Id="rId3" Type="http://schemas.openxmlformats.org/officeDocument/2006/relationships/image" Target="../media/image4.gif"/><Relationship Id="rId7" Type="http://schemas.openxmlformats.org/officeDocument/2006/relationships/image" Target="../media/image8.gif"/><Relationship Id="rId12" Type="http://schemas.openxmlformats.org/officeDocument/2006/relationships/image" Target="../media/image13.gif"/><Relationship Id="rId2" Type="http://schemas.openxmlformats.org/officeDocument/2006/relationships/image" Target="../media/image3.gif"/><Relationship Id="rId16" Type="http://schemas.openxmlformats.org/officeDocument/2006/relationships/image" Target="../media/image17.gif"/><Relationship Id="rId1" Type="http://schemas.openxmlformats.org/officeDocument/2006/relationships/image" Target="../media/image2.gif"/><Relationship Id="rId6" Type="http://schemas.openxmlformats.org/officeDocument/2006/relationships/image" Target="../media/image7.gif"/><Relationship Id="rId11" Type="http://schemas.openxmlformats.org/officeDocument/2006/relationships/image" Target="../media/image12.gif"/><Relationship Id="rId5" Type="http://schemas.openxmlformats.org/officeDocument/2006/relationships/image" Target="../media/image6.gif"/><Relationship Id="rId15" Type="http://schemas.openxmlformats.org/officeDocument/2006/relationships/image" Target="../media/image16.gif"/><Relationship Id="rId10" Type="http://schemas.openxmlformats.org/officeDocument/2006/relationships/image" Target="../media/image11.gif"/><Relationship Id="rId4" Type="http://schemas.openxmlformats.org/officeDocument/2006/relationships/image" Target="../media/image5.gif"/><Relationship Id="rId9" Type="http://schemas.openxmlformats.org/officeDocument/2006/relationships/image" Target="../media/image10.gif"/><Relationship Id="rId14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gif"/><Relationship Id="rId1" Type="http://schemas.openxmlformats.org/officeDocument/2006/relationships/image" Target="../media/image10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17607</xdr:colOff>
      <xdr:row>0</xdr:row>
      <xdr:rowOff>124866</xdr:rowOff>
    </xdr:from>
    <xdr:to>
      <xdr:col>12</xdr:col>
      <xdr:colOff>716229</xdr:colOff>
      <xdr:row>10</xdr:row>
      <xdr:rowOff>204107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77143" y="124866"/>
          <a:ext cx="4549443" cy="24877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</xdr:colOff>
      <xdr:row>3</xdr:row>
      <xdr:rowOff>9525</xdr:rowOff>
    </xdr:from>
    <xdr:to>
      <xdr:col>15</xdr:col>
      <xdr:colOff>200025</xdr:colOff>
      <xdr:row>4</xdr:row>
      <xdr:rowOff>9525</xdr:rowOff>
    </xdr:to>
    <xdr:pic>
      <xdr:nvPicPr>
        <xdr:cNvPr id="2" name="Picture 2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82075" y="400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6</xdr:row>
      <xdr:rowOff>0</xdr:rowOff>
    </xdr:to>
    <xdr:pic>
      <xdr:nvPicPr>
        <xdr:cNvPr id="3" name="Picture 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771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190500</xdr:colOff>
      <xdr:row>7</xdr:row>
      <xdr:rowOff>0</xdr:rowOff>
    </xdr:to>
    <xdr:pic>
      <xdr:nvPicPr>
        <xdr:cNvPr id="4" name="Picture 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962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190500</xdr:colOff>
      <xdr:row>8</xdr:row>
      <xdr:rowOff>0</xdr:rowOff>
    </xdr:to>
    <xdr:pic>
      <xdr:nvPicPr>
        <xdr:cNvPr id="5" name="Picture 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152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7</xdr:row>
      <xdr:rowOff>0</xdr:rowOff>
    </xdr:from>
    <xdr:to>
      <xdr:col>15</xdr:col>
      <xdr:colOff>390525</xdr:colOff>
      <xdr:row>8</xdr:row>
      <xdr:rowOff>0</xdr:rowOff>
    </xdr:to>
    <xdr:pic>
      <xdr:nvPicPr>
        <xdr:cNvPr id="6" name="Picture 10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152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7</xdr:row>
      <xdr:rowOff>0</xdr:rowOff>
    </xdr:from>
    <xdr:to>
      <xdr:col>15</xdr:col>
      <xdr:colOff>590550</xdr:colOff>
      <xdr:row>8</xdr:row>
      <xdr:rowOff>0</xdr:rowOff>
    </xdr:to>
    <xdr:pic>
      <xdr:nvPicPr>
        <xdr:cNvPr id="7" name="Picture 1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1152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190500</xdr:colOff>
      <xdr:row>9</xdr:row>
      <xdr:rowOff>0</xdr:rowOff>
    </xdr:to>
    <xdr:pic>
      <xdr:nvPicPr>
        <xdr:cNvPr id="8" name="Picture 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343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10</xdr:row>
      <xdr:rowOff>0</xdr:rowOff>
    </xdr:to>
    <xdr:pic>
      <xdr:nvPicPr>
        <xdr:cNvPr id="9" name="Picture 15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1533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9</xdr:row>
      <xdr:rowOff>0</xdr:rowOff>
    </xdr:from>
    <xdr:to>
      <xdr:col>15</xdr:col>
      <xdr:colOff>390525</xdr:colOff>
      <xdr:row>10</xdr:row>
      <xdr:rowOff>0</xdr:rowOff>
    </xdr:to>
    <xdr:pic>
      <xdr:nvPicPr>
        <xdr:cNvPr id="10" name="Picture 16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1533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9</xdr:row>
      <xdr:rowOff>0</xdr:rowOff>
    </xdr:from>
    <xdr:to>
      <xdr:col>15</xdr:col>
      <xdr:colOff>590550</xdr:colOff>
      <xdr:row>10</xdr:row>
      <xdr:rowOff>0</xdr:rowOff>
    </xdr:to>
    <xdr:pic>
      <xdr:nvPicPr>
        <xdr:cNvPr id="11" name="Picture 17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372600" y="1533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190500</xdr:colOff>
      <xdr:row>11</xdr:row>
      <xdr:rowOff>0</xdr:rowOff>
    </xdr:to>
    <xdr:pic>
      <xdr:nvPicPr>
        <xdr:cNvPr id="12" name="Picture 1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1724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</xdr:row>
      <xdr:rowOff>0</xdr:rowOff>
    </xdr:from>
    <xdr:to>
      <xdr:col>15</xdr:col>
      <xdr:colOff>190500</xdr:colOff>
      <xdr:row>15</xdr:row>
      <xdr:rowOff>0</xdr:rowOff>
    </xdr:to>
    <xdr:pic>
      <xdr:nvPicPr>
        <xdr:cNvPr id="13" name="Picture 2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2486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190500</xdr:colOff>
      <xdr:row>15</xdr:row>
      <xdr:rowOff>190500</xdr:rowOff>
    </xdr:to>
    <xdr:pic>
      <xdr:nvPicPr>
        <xdr:cNvPr id="14" name="Picture 2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676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</xdr:row>
      <xdr:rowOff>0</xdr:rowOff>
    </xdr:from>
    <xdr:to>
      <xdr:col>15</xdr:col>
      <xdr:colOff>390525</xdr:colOff>
      <xdr:row>15</xdr:row>
      <xdr:rowOff>190500</xdr:rowOff>
    </xdr:to>
    <xdr:pic>
      <xdr:nvPicPr>
        <xdr:cNvPr id="15" name="Picture 27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2676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190500</xdr:colOff>
      <xdr:row>18</xdr:row>
      <xdr:rowOff>190500</xdr:rowOff>
    </xdr:to>
    <xdr:pic>
      <xdr:nvPicPr>
        <xdr:cNvPr id="16" name="Picture 30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3257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19</xdr:row>
      <xdr:rowOff>0</xdr:rowOff>
    </xdr:from>
    <xdr:to>
      <xdr:col>15</xdr:col>
      <xdr:colOff>190500</xdr:colOff>
      <xdr:row>20</xdr:row>
      <xdr:rowOff>0</xdr:rowOff>
    </xdr:to>
    <xdr:pic>
      <xdr:nvPicPr>
        <xdr:cNvPr id="17" name="Picture 3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3448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19</xdr:row>
      <xdr:rowOff>0</xdr:rowOff>
    </xdr:from>
    <xdr:to>
      <xdr:col>15</xdr:col>
      <xdr:colOff>390525</xdr:colOff>
      <xdr:row>20</xdr:row>
      <xdr:rowOff>0</xdr:rowOff>
    </xdr:to>
    <xdr:pic>
      <xdr:nvPicPr>
        <xdr:cNvPr id="18" name="Picture 33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3448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190500</xdr:colOff>
      <xdr:row>21</xdr:row>
      <xdr:rowOff>0</xdr:rowOff>
    </xdr:to>
    <xdr:pic>
      <xdr:nvPicPr>
        <xdr:cNvPr id="19" name="Picture 3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3638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20</xdr:row>
      <xdr:rowOff>0</xdr:rowOff>
    </xdr:from>
    <xdr:to>
      <xdr:col>15</xdr:col>
      <xdr:colOff>390525</xdr:colOff>
      <xdr:row>21</xdr:row>
      <xdr:rowOff>0</xdr:rowOff>
    </xdr:to>
    <xdr:pic>
      <xdr:nvPicPr>
        <xdr:cNvPr id="20" name="Picture 36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3638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190500</xdr:colOff>
      <xdr:row>22</xdr:row>
      <xdr:rowOff>0</xdr:rowOff>
    </xdr:to>
    <xdr:pic>
      <xdr:nvPicPr>
        <xdr:cNvPr id="21" name="Picture 38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3829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21</xdr:row>
      <xdr:rowOff>0</xdr:rowOff>
    </xdr:from>
    <xdr:to>
      <xdr:col>15</xdr:col>
      <xdr:colOff>390525</xdr:colOff>
      <xdr:row>22</xdr:row>
      <xdr:rowOff>0</xdr:rowOff>
    </xdr:to>
    <xdr:pic>
      <xdr:nvPicPr>
        <xdr:cNvPr id="22" name="Picture 39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3829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21</xdr:row>
      <xdr:rowOff>0</xdr:rowOff>
    </xdr:from>
    <xdr:to>
      <xdr:col>15</xdr:col>
      <xdr:colOff>590550</xdr:colOff>
      <xdr:row>22</xdr:row>
      <xdr:rowOff>0</xdr:rowOff>
    </xdr:to>
    <xdr:pic>
      <xdr:nvPicPr>
        <xdr:cNvPr id="23" name="Picture 40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3829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21</xdr:row>
      <xdr:rowOff>0</xdr:rowOff>
    </xdr:from>
    <xdr:to>
      <xdr:col>15</xdr:col>
      <xdr:colOff>762000</xdr:colOff>
      <xdr:row>22</xdr:row>
      <xdr:rowOff>0</xdr:rowOff>
    </xdr:to>
    <xdr:pic>
      <xdr:nvPicPr>
        <xdr:cNvPr id="24" name="Picture 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572625" y="38290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</xdr:row>
      <xdr:rowOff>9525</xdr:rowOff>
    </xdr:from>
    <xdr:to>
      <xdr:col>15</xdr:col>
      <xdr:colOff>190500</xdr:colOff>
      <xdr:row>29</xdr:row>
      <xdr:rowOff>9525</xdr:rowOff>
    </xdr:to>
    <xdr:pic>
      <xdr:nvPicPr>
        <xdr:cNvPr id="25" name="Picture 48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5181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</xdr:row>
      <xdr:rowOff>9525</xdr:rowOff>
    </xdr:from>
    <xdr:to>
      <xdr:col>15</xdr:col>
      <xdr:colOff>190500</xdr:colOff>
      <xdr:row>30</xdr:row>
      <xdr:rowOff>9525</xdr:rowOff>
    </xdr:to>
    <xdr:pic>
      <xdr:nvPicPr>
        <xdr:cNvPr id="26" name="Picture 5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5372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</xdr:row>
      <xdr:rowOff>9525</xdr:rowOff>
    </xdr:from>
    <xdr:to>
      <xdr:col>15</xdr:col>
      <xdr:colOff>190500</xdr:colOff>
      <xdr:row>31</xdr:row>
      <xdr:rowOff>9525</xdr:rowOff>
    </xdr:to>
    <xdr:pic>
      <xdr:nvPicPr>
        <xdr:cNvPr id="27" name="Picture 52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5562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</xdr:row>
      <xdr:rowOff>9525</xdr:rowOff>
    </xdr:from>
    <xdr:to>
      <xdr:col>15</xdr:col>
      <xdr:colOff>190500</xdr:colOff>
      <xdr:row>32</xdr:row>
      <xdr:rowOff>9525</xdr:rowOff>
    </xdr:to>
    <xdr:pic>
      <xdr:nvPicPr>
        <xdr:cNvPr id="28" name="Picture 5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753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</xdr:row>
      <xdr:rowOff>9525</xdr:rowOff>
    </xdr:from>
    <xdr:to>
      <xdr:col>15</xdr:col>
      <xdr:colOff>190500</xdr:colOff>
      <xdr:row>35</xdr:row>
      <xdr:rowOff>9525</xdr:rowOff>
    </xdr:to>
    <xdr:pic>
      <xdr:nvPicPr>
        <xdr:cNvPr id="29" name="Picture 58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6324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34</xdr:row>
      <xdr:rowOff>9525</xdr:rowOff>
    </xdr:from>
    <xdr:to>
      <xdr:col>15</xdr:col>
      <xdr:colOff>390525</xdr:colOff>
      <xdr:row>35</xdr:row>
      <xdr:rowOff>9525</xdr:rowOff>
    </xdr:to>
    <xdr:pic>
      <xdr:nvPicPr>
        <xdr:cNvPr id="30" name="Picture 59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6324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35</xdr:row>
      <xdr:rowOff>9525</xdr:rowOff>
    </xdr:from>
    <xdr:to>
      <xdr:col>15</xdr:col>
      <xdr:colOff>190500</xdr:colOff>
      <xdr:row>36</xdr:row>
      <xdr:rowOff>9525</xdr:rowOff>
    </xdr:to>
    <xdr:pic>
      <xdr:nvPicPr>
        <xdr:cNvPr id="31" name="Picture 61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6515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35</xdr:row>
      <xdr:rowOff>9525</xdr:rowOff>
    </xdr:from>
    <xdr:to>
      <xdr:col>15</xdr:col>
      <xdr:colOff>390525</xdr:colOff>
      <xdr:row>36</xdr:row>
      <xdr:rowOff>9525</xdr:rowOff>
    </xdr:to>
    <xdr:pic>
      <xdr:nvPicPr>
        <xdr:cNvPr id="32" name="Picture 62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6515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36</xdr:row>
      <xdr:rowOff>9525</xdr:rowOff>
    </xdr:from>
    <xdr:to>
      <xdr:col>15</xdr:col>
      <xdr:colOff>190500</xdr:colOff>
      <xdr:row>37</xdr:row>
      <xdr:rowOff>0</xdr:rowOff>
    </xdr:to>
    <xdr:pic>
      <xdr:nvPicPr>
        <xdr:cNvPr id="33" name="Picture 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6705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36</xdr:row>
      <xdr:rowOff>9525</xdr:rowOff>
    </xdr:from>
    <xdr:to>
      <xdr:col>15</xdr:col>
      <xdr:colOff>390525</xdr:colOff>
      <xdr:row>37</xdr:row>
      <xdr:rowOff>0</xdr:rowOff>
    </xdr:to>
    <xdr:pic>
      <xdr:nvPicPr>
        <xdr:cNvPr id="34" name="Picture 65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6705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36</xdr:row>
      <xdr:rowOff>9525</xdr:rowOff>
    </xdr:from>
    <xdr:to>
      <xdr:col>15</xdr:col>
      <xdr:colOff>590550</xdr:colOff>
      <xdr:row>37</xdr:row>
      <xdr:rowOff>0</xdr:rowOff>
    </xdr:to>
    <xdr:pic>
      <xdr:nvPicPr>
        <xdr:cNvPr id="35" name="Picture 6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6705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36</xdr:row>
      <xdr:rowOff>9525</xdr:rowOff>
    </xdr:from>
    <xdr:to>
      <xdr:col>15</xdr:col>
      <xdr:colOff>762000</xdr:colOff>
      <xdr:row>37</xdr:row>
      <xdr:rowOff>0</xdr:rowOff>
    </xdr:to>
    <xdr:pic>
      <xdr:nvPicPr>
        <xdr:cNvPr id="36" name="Picture 67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72625" y="670560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38</xdr:row>
      <xdr:rowOff>0</xdr:rowOff>
    </xdr:from>
    <xdr:to>
      <xdr:col>15</xdr:col>
      <xdr:colOff>190500</xdr:colOff>
      <xdr:row>38</xdr:row>
      <xdr:rowOff>190500</xdr:rowOff>
    </xdr:to>
    <xdr:pic>
      <xdr:nvPicPr>
        <xdr:cNvPr id="37" name="Picture 6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7086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15</xdr:col>
      <xdr:colOff>190500</xdr:colOff>
      <xdr:row>40</xdr:row>
      <xdr:rowOff>0</xdr:rowOff>
    </xdr:to>
    <xdr:pic>
      <xdr:nvPicPr>
        <xdr:cNvPr id="38" name="Picture 67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7277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40</xdr:row>
      <xdr:rowOff>0</xdr:rowOff>
    </xdr:from>
    <xdr:to>
      <xdr:col>15</xdr:col>
      <xdr:colOff>190500</xdr:colOff>
      <xdr:row>41</xdr:row>
      <xdr:rowOff>0</xdr:rowOff>
    </xdr:to>
    <xdr:pic>
      <xdr:nvPicPr>
        <xdr:cNvPr id="39" name="Picture 6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7467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190500</xdr:colOff>
      <xdr:row>41</xdr:row>
      <xdr:rowOff>190500</xdr:rowOff>
    </xdr:to>
    <xdr:pic>
      <xdr:nvPicPr>
        <xdr:cNvPr id="40" name="Picture 7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7658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37</xdr:row>
      <xdr:rowOff>0</xdr:rowOff>
    </xdr:from>
    <xdr:to>
      <xdr:col>15</xdr:col>
      <xdr:colOff>200025</xdr:colOff>
      <xdr:row>38</xdr:row>
      <xdr:rowOff>0</xdr:rowOff>
    </xdr:to>
    <xdr:pic>
      <xdr:nvPicPr>
        <xdr:cNvPr id="41" name="Picture 6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82075" y="6896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</xdr:row>
      <xdr:rowOff>0</xdr:rowOff>
    </xdr:from>
    <xdr:to>
      <xdr:col>15</xdr:col>
      <xdr:colOff>190500</xdr:colOff>
      <xdr:row>17</xdr:row>
      <xdr:rowOff>0</xdr:rowOff>
    </xdr:to>
    <xdr:pic>
      <xdr:nvPicPr>
        <xdr:cNvPr id="42" name="Picture 30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876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15</xdr:col>
      <xdr:colOff>190500</xdr:colOff>
      <xdr:row>44</xdr:row>
      <xdr:rowOff>0</xdr:rowOff>
    </xdr:to>
    <xdr:pic>
      <xdr:nvPicPr>
        <xdr:cNvPr id="43" name="Picture 73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8048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49</xdr:row>
      <xdr:rowOff>0</xdr:rowOff>
    </xdr:from>
    <xdr:to>
      <xdr:col>15</xdr:col>
      <xdr:colOff>190500</xdr:colOff>
      <xdr:row>50</xdr:row>
      <xdr:rowOff>0</xdr:rowOff>
    </xdr:to>
    <xdr:pic>
      <xdr:nvPicPr>
        <xdr:cNvPr id="44" name="Picture 80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8972550" y="9191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190500</xdr:colOff>
      <xdr:row>51</xdr:row>
      <xdr:rowOff>0</xdr:rowOff>
    </xdr:to>
    <xdr:pic>
      <xdr:nvPicPr>
        <xdr:cNvPr id="45" name="Picture 82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8972550" y="93821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51</xdr:row>
      <xdr:rowOff>0</xdr:rowOff>
    </xdr:from>
    <xdr:to>
      <xdr:col>15</xdr:col>
      <xdr:colOff>190500</xdr:colOff>
      <xdr:row>52</xdr:row>
      <xdr:rowOff>0</xdr:rowOff>
    </xdr:to>
    <xdr:pic>
      <xdr:nvPicPr>
        <xdr:cNvPr id="46" name="Picture 8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972550" y="9572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190500</xdr:colOff>
      <xdr:row>53</xdr:row>
      <xdr:rowOff>0</xdr:rowOff>
    </xdr:to>
    <xdr:pic>
      <xdr:nvPicPr>
        <xdr:cNvPr id="47" name="Picture 86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97631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53</xdr:row>
      <xdr:rowOff>0</xdr:rowOff>
    </xdr:from>
    <xdr:to>
      <xdr:col>15</xdr:col>
      <xdr:colOff>190500</xdr:colOff>
      <xdr:row>54</xdr:row>
      <xdr:rowOff>0</xdr:rowOff>
    </xdr:to>
    <xdr:pic>
      <xdr:nvPicPr>
        <xdr:cNvPr id="48" name="Picture 8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9953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55</xdr:row>
      <xdr:rowOff>0</xdr:rowOff>
    </xdr:from>
    <xdr:to>
      <xdr:col>15</xdr:col>
      <xdr:colOff>190500</xdr:colOff>
      <xdr:row>55</xdr:row>
      <xdr:rowOff>190500</xdr:rowOff>
    </xdr:to>
    <xdr:pic>
      <xdr:nvPicPr>
        <xdr:cNvPr id="49" name="Picture 91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10334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55</xdr:row>
      <xdr:rowOff>0</xdr:rowOff>
    </xdr:from>
    <xdr:to>
      <xdr:col>15</xdr:col>
      <xdr:colOff>390525</xdr:colOff>
      <xdr:row>55</xdr:row>
      <xdr:rowOff>190500</xdr:rowOff>
    </xdr:to>
    <xdr:pic>
      <xdr:nvPicPr>
        <xdr:cNvPr id="50" name="Picture 92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10334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57</xdr:row>
      <xdr:rowOff>0</xdr:rowOff>
    </xdr:from>
    <xdr:to>
      <xdr:col>15</xdr:col>
      <xdr:colOff>190500</xdr:colOff>
      <xdr:row>58</xdr:row>
      <xdr:rowOff>0</xdr:rowOff>
    </xdr:to>
    <xdr:pic>
      <xdr:nvPicPr>
        <xdr:cNvPr id="51" name="Picture 9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0725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61</xdr:row>
      <xdr:rowOff>0</xdr:rowOff>
    </xdr:from>
    <xdr:to>
      <xdr:col>15</xdr:col>
      <xdr:colOff>190500</xdr:colOff>
      <xdr:row>61</xdr:row>
      <xdr:rowOff>190500</xdr:rowOff>
    </xdr:to>
    <xdr:pic>
      <xdr:nvPicPr>
        <xdr:cNvPr id="52" name="Picture 99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11487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62</xdr:row>
      <xdr:rowOff>0</xdr:rowOff>
    </xdr:from>
    <xdr:to>
      <xdr:col>15</xdr:col>
      <xdr:colOff>190500</xdr:colOff>
      <xdr:row>62</xdr:row>
      <xdr:rowOff>190500</xdr:rowOff>
    </xdr:to>
    <xdr:pic>
      <xdr:nvPicPr>
        <xdr:cNvPr id="53" name="Picture 101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11677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63</xdr:row>
      <xdr:rowOff>0</xdr:rowOff>
    </xdr:from>
    <xdr:to>
      <xdr:col>15</xdr:col>
      <xdr:colOff>190500</xdr:colOff>
      <xdr:row>63</xdr:row>
      <xdr:rowOff>190500</xdr:rowOff>
    </xdr:to>
    <xdr:pic>
      <xdr:nvPicPr>
        <xdr:cNvPr id="54" name="Picture 10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1868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190500</xdr:colOff>
      <xdr:row>65</xdr:row>
      <xdr:rowOff>190500</xdr:rowOff>
    </xdr:to>
    <xdr:pic>
      <xdr:nvPicPr>
        <xdr:cNvPr id="55" name="Picture 10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12249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65</xdr:row>
      <xdr:rowOff>0</xdr:rowOff>
    </xdr:from>
    <xdr:to>
      <xdr:col>15</xdr:col>
      <xdr:colOff>390525</xdr:colOff>
      <xdr:row>65</xdr:row>
      <xdr:rowOff>190500</xdr:rowOff>
    </xdr:to>
    <xdr:pic>
      <xdr:nvPicPr>
        <xdr:cNvPr id="56" name="Picture 10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2249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66</xdr:row>
      <xdr:rowOff>0</xdr:rowOff>
    </xdr:from>
    <xdr:to>
      <xdr:col>15</xdr:col>
      <xdr:colOff>190500</xdr:colOff>
      <xdr:row>66</xdr:row>
      <xdr:rowOff>190500</xdr:rowOff>
    </xdr:to>
    <xdr:pic>
      <xdr:nvPicPr>
        <xdr:cNvPr id="57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12439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67</xdr:row>
      <xdr:rowOff>0</xdr:rowOff>
    </xdr:from>
    <xdr:to>
      <xdr:col>15</xdr:col>
      <xdr:colOff>190500</xdr:colOff>
      <xdr:row>67</xdr:row>
      <xdr:rowOff>190500</xdr:rowOff>
    </xdr:to>
    <xdr:pic>
      <xdr:nvPicPr>
        <xdr:cNvPr id="58" name="Picture 111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12630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69</xdr:row>
      <xdr:rowOff>0</xdr:rowOff>
    </xdr:from>
    <xdr:to>
      <xdr:col>15</xdr:col>
      <xdr:colOff>190500</xdr:colOff>
      <xdr:row>69</xdr:row>
      <xdr:rowOff>190500</xdr:rowOff>
    </xdr:to>
    <xdr:pic>
      <xdr:nvPicPr>
        <xdr:cNvPr id="59" name="Picture 11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13011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69</xdr:row>
      <xdr:rowOff>0</xdr:rowOff>
    </xdr:from>
    <xdr:to>
      <xdr:col>15</xdr:col>
      <xdr:colOff>390525</xdr:colOff>
      <xdr:row>69</xdr:row>
      <xdr:rowOff>190500</xdr:rowOff>
    </xdr:to>
    <xdr:pic>
      <xdr:nvPicPr>
        <xdr:cNvPr id="60" name="Picture 115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13011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69</xdr:row>
      <xdr:rowOff>0</xdr:rowOff>
    </xdr:from>
    <xdr:to>
      <xdr:col>15</xdr:col>
      <xdr:colOff>590550</xdr:colOff>
      <xdr:row>69</xdr:row>
      <xdr:rowOff>190500</xdr:rowOff>
    </xdr:to>
    <xdr:pic>
      <xdr:nvPicPr>
        <xdr:cNvPr id="61" name="Picture 116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13011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104</xdr:row>
      <xdr:rowOff>0</xdr:rowOff>
    </xdr:from>
    <xdr:to>
      <xdr:col>15</xdr:col>
      <xdr:colOff>190500</xdr:colOff>
      <xdr:row>105</xdr:row>
      <xdr:rowOff>0</xdr:rowOff>
    </xdr:to>
    <xdr:pic>
      <xdr:nvPicPr>
        <xdr:cNvPr id="62" name="Picture 118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13401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105</xdr:row>
      <xdr:rowOff>0</xdr:rowOff>
    </xdr:from>
    <xdr:to>
      <xdr:col>15</xdr:col>
      <xdr:colOff>190500</xdr:colOff>
      <xdr:row>106</xdr:row>
      <xdr:rowOff>0</xdr:rowOff>
    </xdr:to>
    <xdr:pic>
      <xdr:nvPicPr>
        <xdr:cNvPr id="63" name="Picture 120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3592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108</xdr:row>
      <xdr:rowOff>0</xdr:rowOff>
    </xdr:from>
    <xdr:to>
      <xdr:col>15</xdr:col>
      <xdr:colOff>190500</xdr:colOff>
      <xdr:row>109</xdr:row>
      <xdr:rowOff>0</xdr:rowOff>
    </xdr:to>
    <xdr:pic>
      <xdr:nvPicPr>
        <xdr:cNvPr id="64" name="Picture 124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14163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110</xdr:row>
      <xdr:rowOff>0</xdr:rowOff>
    </xdr:from>
    <xdr:to>
      <xdr:col>15</xdr:col>
      <xdr:colOff>190500</xdr:colOff>
      <xdr:row>111</xdr:row>
      <xdr:rowOff>0</xdr:rowOff>
    </xdr:to>
    <xdr:pic>
      <xdr:nvPicPr>
        <xdr:cNvPr id="65" name="Picture 127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4544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111</xdr:row>
      <xdr:rowOff>0</xdr:rowOff>
    </xdr:from>
    <xdr:to>
      <xdr:col>15</xdr:col>
      <xdr:colOff>190500</xdr:colOff>
      <xdr:row>112</xdr:row>
      <xdr:rowOff>0</xdr:rowOff>
    </xdr:to>
    <xdr:pic>
      <xdr:nvPicPr>
        <xdr:cNvPr id="66" name="Picture 12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4735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112</xdr:row>
      <xdr:rowOff>0</xdr:rowOff>
    </xdr:from>
    <xdr:to>
      <xdr:col>15</xdr:col>
      <xdr:colOff>190500</xdr:colOff>
      <xdr:row>113</xdr:row>
      <xdr:rowOff>0</xdr:rowOff>
    </xdr:to>
    <xdr:pic>
      <xdr:nvPicPr>
        <xdr:cNvPr id="67" name="Picture 131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4925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115</xdr:row>
      <xdr:rowOff>0</xdr:rowOff>
    </xdr:from>
    <xdr:to>
      <xdr:col>15</xdr:col>
      <xdr:colOff>190500</xdr:colOff>
      <xdr:row>116</xdr:row>
      <xdr:rowOff>0</xdr:rowOff>
    </xdr:to>
    <xdr:pic>
      <xdr:nvPicPr>
        <xdr:cNvPr id="68" name="Picture 135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5497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116</xdr:row>
      <xdr:rowOff>0</xdr:rowOff>
    </xdr:from>
    <xdr:to>
      <xdr:col>15</xdr:col>
      <xdr:colOff>190500</xdr:colOff>
      <xdr:row>116</xdr:row>
      <xdr:rowOff>190500</xdr:rowOff>
    </xdr:to>
    <xdr:pic>
      <xdr:nvPicPr>
        <xdr:cNvPr id="69" name="Picture 13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15687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116</xdr:row>
      <xdr:rowOff>0</xdr:rowOff>
    </xdr:from>
    <xdr:to>
      <xdr:col>15</xdr:col>
      <xdr:colOff>390525</xdr:colOff>
      <xdr:row>116</xdr:row>
      <xdr:rowOff>190500</xdr:rowOff>
    </xdr:to>
    <xdr:pic>
      <xdr:nvPicPr>
        <xdr:cNvPr id="70" name="Picture 13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15687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116</xdr:row>
      <xdr:rowOff>0</xdr:rowOff>
    </xdr:from>
    <xdr:to>
      <xdr:col>15</xdr:col>
      <xdr:colOff>590550</xdr:colOff>
      <xdr:row>116</xdr:row>
      <xdr:rowOff>190500</xdr:rowOff>
    </xdr:to>
    <xdr:pic>
      <xdr:nvPicPr>
        <xdr:cNvPr id="71" name="Picture 139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372600" y="15687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190500</xdr:colOff>
      <xdr:row>77</xdr:row>
      <xdr:rowOff>190500</xdr:rowOff>
    </xdr:to>
    <xdr:pic>
      <xdr:nvPicPr>
        <xdr:cNvPr id="72" name="Picture 142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16268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77</xdr:row>
      <xdr:rowOff>0</xdr:rowOff>
    </xdr:from>
    <xdr:to>
      <xdr:col>15</xdr:col>
      <xdr:colOff>390525</xdr:colOff>
      <xdr:row>77</xdr:row>
      <xdr:rowOff>190500</xdr:rowOff>
    </xdr:to>
    <xdr:pic>
      <xdr:nvPicPr>
        <xdr:cNvPr id="73" name="Picture 143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6268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77</xdr:row>
      <xdr:rowOff>0</xdr:rowOff>
    </xdr:from>
    <xdr:to>
      <xdr:col>15</xdr:col>
      <xdr:colOff>590550</xdr:colOff>
      <xdr:row>77</xdr:row>
      <xdr:rowOff>190500</xdr:rowOff>
    </xdr:to>
    <xdr:pic>
      <xdr:nvPicPr>
        <xdr:cNvPr id="74" name="Picture 14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16268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78</xdr:row>
      <xdr:rowOff>0</xdr:rowOff>
    </xdr:from>
    <xdr:to>
      <xdr:col>15</xdr:col>
      <xdr:colOff>190500</xdr:colOff>
      <xdr:row>78</xdr:row>
      <xdr:rowOff>190500</xdr:rowOff>
    </xdr:to>
    <xdr:pic>
      <xdr:nvPicPr>
        <xdr:cNvPr id="75" name="Picture 14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16459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78</xdr:row>
      <xdr:rowOff>0</xdr:rowOff>
    </xdr:from>
    <xdr:to>
      <xdr:col>15</xdr:col>
      <xdr:colOff>390525</xdr:colOff>
      <xdr:row>78</xdr:row>
      <xdr:rowOff>190500</xdr:rowOff>
    </xdr:to>
    <xdr:pic>
      <xdr:nvPicPr>
        <xdr:cNvPr id="76" name="Picture 14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6459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84</xdr:row>
      <xdr:rowOff>0</xdr:rowOff>
    </xdr:from>
    <xdr:to>
      <xdr:col>15</xdr:col>
      <xdr:colOff>190500</xdr:colOff>
      <xdr:row>84</xdr:row>
      <xdr:rowOff>190500</xdr:rowOff>
    </xdr:to>
    <xdr:pic>
      <xdr:nvPicPr>
        <xdr:cNvPr id="77" name="Picture 154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17602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84</xdr:row>
      <xdr:rowOff>0</xdr:rowOff>
    </xdr:from>
    <xdr:to>
      <xdr:col>15</xdr:col>
      <xdr:colOff>390525</xdr:colOff>
      <xdr:row>84</xdr:row>
      <xdr:rowOff>190500</xdr:rowOff>
    </xdr:to>
    <xdr:pic>
      <xdr:nvPicPr>
        <xdr:cNvPr id="78" name="Picture 15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7602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84</xdr:row>
      <xdr:rowOff>0</xdr:rowOff>
    </xdr:from>
    <xdr:to>
      <xdr:col>15</xdr:col>
      <xdr:colOff>590550</xdr:colOff>
      <xdr:row>84</xdr:row>
      <xdr:rowOff>190500</xdr:rowOff>
    </xdr:to>
    <xdr:pic>
      <xdr:nvPicPr>
        <xdr:cNvPr id="79" name="Picture 15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17602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85</xdr:row>
      <xdr:rowOff>0</xdr:rowOff>
    </xdr:from>
    <xdr:to>
      <xdr:col>15</xdr:col>
      <xdr:colOff>190500</xdr:colOff>
      <xdr:row>85</xdr:row>
      <xdr:rowOff>190500</xdr:rowOff>
    </xdr:to>
    <xdr:pic>
      <xdr:nvPicPr>
        <xdr:cNvPr id="80" name="Picture 158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779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85</xdr:row>
      <xdr:rowOff>0</xdr:rowOff>
    </xdr:from>
    <xdr:to>
      <xdr:col>15</xdr:col>
      <xdr:colOff>390525</xdr:colOff>
      <xdr:row>85</xdr:row>
      <xdr:rowOff>190500</xdr:rowOff>
    </xdr:to>
    <xdr:pic>
      <xdr:nvPicPr>
        <xdr:cNvPr id="81" name="Picture 15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1779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86</xdr:row>
      <xdr:rowOff>0</xdr:rowOff>
    </xdr:from>
    <xdr:to>
      <xdr:col>15</xdr:col>
      <xdr:colOff>190500</xdr:colOff>
      <xdr:row>86</xdr:row>
      <xdr:rowOff>190500</xdr:rowOff>
    </xdr:to>
    <xdr:pic>
      <xdr:nvPicPr>
        <xdr:cNvPr id="82" name="Picture 161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1798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86</xdr:row>
      <xdr:rowOff>0</xdr:rowOff>
    </xdr:from>
    <xdr:to>
      <xdr:col>15</xdr:col>
      <xdr:colOff>390525</xdr:colOff>
      <xdr:row>86</xdr:row>
      <xdr:rowOff>190500</xdr:rowOff>
    </xdr:to>
    <xdr:pic>
      <xdr:nvPicPr>
        <xdr:cNvPr id="83" name="Picture 162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1798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190500</xdr:colOff>
      <xdr:row>87</xdr:row>
      <xdr:rowOff>190500</xdr:rowOff>
    </xdr:to>
    <xdr:pic>
      <xdr:nvPicPr>
        <xdr:cNvPr id="84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18173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87</xdr:row>
      <xdr:rowOff>0</xdr:rowOff>
    </xdr:from>
    <xdr:to>
      <xdr:col>15</xdr:col>
      <xdr:colOff>390525</xdr:colOff>
      <xdr:row>87</xdr:row>
      <xdr:rowOff>190500</xdr:rowOff>
    </xdr:to>
    <xdr:pic>
      <xdr:nvPicPr>
        <xdr:cNvPr id="85" name="Picture 16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8173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88</xdr:row>
      <xdr:rowOff>0</xdr:rowOff>
    </xdr:from>
    <xdr:to>
      <xdr:col>15</xdr:col>
      <xdr:colOff>190500</xdr:colOff>
      <xdr:row>88</xdr:row>
      <xdr:rowOff>190500</xdr:rowOff>
    </xdr:to>
    <xdr:pic>
      <xdr:nvPicPr>
        <xdr:cNvPr id="86" name="Picture 16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18364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88</xdr:row>
      <xdr:rowOff>0</xdr:rowOff>
    </xdr:from>
    <xdr:to>
      <xdr:col>15</xdr:col>
      <xdr:colOff>390525</xdr:colOff>
      <xdr:row>88</xdr:row>
      <xdr:rowOff>190500</xdr:rowOff>
    </xdr:to>
    <xdr:pic>
      <xdr:nvPicPr>
        <xdr:cNvPr id="87" name="Picture 16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18364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88</xdr:row>
      <xdr:rowOff>0</xdr:rowOff>
    </xdr:from>
    <xdr:to>
      <xdr:col>15</xdr:col>
      <xdr:colOff>590550</xdr:colOff>
      <xdr:row>88</xdr:row>
      <xdr:rowOff>190500</xdr:rowOff>
    </xdr:to>
    <xdr:pic>
      <xdr:nvPicPr>
        <xdr:cNvPr id="88" name="Picture 16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18364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190500</xdr:colOff>
      <xdr:row>90</xdr:row>
      <xdr:rowOff>190500</xdr:rowOff>
    </xdr:to>
    <xdr:pic>
      <xdr:nvPicPr>
        <xdr:cNvPr id="89" name="Picture 17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18754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90</xdr:row>
      <xdr:rowOff>0</xdr:rowOff>
    </xdr:from>
    <xdr:to>
      <xdr:col>15</xdr:col>
      <xdr:colOff>390525</xdr:colOff>
      <xdr:row>90</xdr:row>
      <xdr:rowOff>190500</xdr:rowOff>
    </xdr:to>
    <xdr:pic>
      <xdr:nvPicPr>
        <xdr:cNvPr id="90" name="Picture 172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18754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91</xdr:row>
      <xdr:rowOff>0</xdr:rowOff>
    </xdr:from>
    <xdr:to>
      <xdr:col>15</xdr:col>
      <xdr:colOff>190500</xdr:colOff>
      <xdr:row>91</xdr:row>
      <xdr:rowOff>190500</xdr:rowOff>
    </xdr:to>
    <xdr:pic>
      <xdr:nvPicPr>
        <xdr:cNvPr id="91" name="Picture 174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18945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92</xdr:row>
      <xdr:rowOff>0</xdr:rowOff>
    </xdr:from>
    <xdr:to>
      <xdr:col>15</xdr:col>
      <xdr:colOff>190500</xdr:colOff>
      <xdr:row>92</xdr:row>
      <xdr:rowOff>190500</xdr:rowOff>
    </xdr:to>
    <xdr:pic>
      <xdr:nvPicPr>
        <xdr:cNvPr id="92" name="Picture 176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19135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92</xdr:row>
      <xdr:rowOff>0</xdr:rowOff>
    </xdr:from>
    <xdr:to>
      <xdr:col>15</xdr:col>
      <xdr:colOff>390525</xdr:colOff>
      <xdr:row>92</xdr:row>
      <xdr:rowOff>190500</xdr:rowOff>
    </xdr:to>
    <xdr:pic>
      <xdr:nvPicPr>
        <xdr:cNvPr id="93" name="Picture 17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72575" y="19135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93</xdr:row>
      <xdr:rowOff>0</xdr:rowOff>
    </xdr:from>
    <xdr:to>
      <xdr:col>15</xdr:col>
      <xdr:colOff>190500</xdr:colOff>
      <xdr:row>93</xdr:row>
      <xdr:rowOff>190500</xdr:rowOff>
    </xdr:to>
    <xdr:pic>
      <xdr:nvPicPr>
        <xdr:cNvPr id="94" name="Picture 17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9326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94</xdr:row>
      <xdr:rowOff>0</xdr:rowOff>
    </xdr:from>
    <xdr:to>
      <xdr:col>15</xdr:col>
      <xdr:colOff>190500</xdr:colOff>
      <xdr:row>94</xdr:row>
      <xdr:rowOff>190500</xdr:rowOff>
    </xdr:to>
    <xdr:pic>
      <xdr:nvPicPr>
        <xdr:cNvPr id="95" name="Picture 181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9516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95</xdr:row>
      <xdr:rowOff>0</xdr:rowOff>
    </xdr:from>
    <xdr:to>
      <xdr:col>15</xdr:col>
      <xdr:colOff>190500</xdr:colOff>
      <xdr:row>96</xdr:row>
      <xdr:rowOff>0</xdr:rowOff>
    </xdr:to>
    <xdr:pic>
      <xdr:nvPicPr>
        <xdr:cNvPr id="96" name="Picture 18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9707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95</xdr:row>
      <xdr:rowOff>0</xdr:rowOff>
    </xdr:from>
    <xdr:to>
      <xdr:col>15</xdr:col>
      <xdr:colOff>390525</xdr:colOff>
      <xdr:row>96</xdr:row>
      <xdr:rowOff>0</xdr:rowOff>
    </xdr:to>
    <xdr:pic>
      <xdr:nvPicPr>
        <xdr:cNvPr id="97" name="Picture 18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19707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96</xdr:row>
      <xdr:rowOff>0</xdr:rowOff>
    </xdr:from>
    <xdr:to>
      <xdr:col>15</xdr:col>
      <xdr:colOff>190500</xdr:colOff>
      <xdr:row>97</xdr:row>
      <xdr:rowOff>0</xdr:rowOff>
    </xdr:to>
    <xdr:pic>
      <xdr:nvPicPr>
        <xdr:cNvPr id="98" name="Picture 18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9897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98</xdr:row>
      <xdr:rowOff>0</xdr:rowOff>
    </xdr:from>
    <xdr:to>
      <xdr:col>15</xdr:col>
      <xdr:colOff>190500</xdr:colOff>
      <xdr:row>99</xdr:row>
      <xdr:rowOff>0</xdr:rowOff>
    </xdr:to>
    <xdr:pic>
      <xdr:nvPicPr>
        <xdr:cNvPr id="99" name="Picture 18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20278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99</xdr:row>
      <xdr:rowOff>0</xdr:rowOff>
    </xdr:from>
    <xdr:to>
      <xdr:col>15</xdr:col>
      <xdr:colOff>190500</xdr:colOff>
      <xdr:row>100</xdr:row>
      <xdr:rowOff>0</xdr:rowOff>
    </xdr:to>
    <xdr:pic>
      <xdr:nvPicPr>
        <xdr:cNvPr id="100" name="Picture 191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0469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99</xdr:row>
      <xdr:rowOff>0</xdr:rowOff>
    </xdr:from>
    <xdr:to>
      <xdr:col>15</xdr:col>
      <xdr:colOff>390525</xdr:colOff>
      <xdr:row>100</xdr:row>
      <xdr:rowOff>0</xdr:rowOff>
    </xdr:to>
    <xdr:pic>
      <xdr:nvPicPr>
        <xdr:cNvPr id="101" name="Picture 192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20469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99</xdr:row>
      <xdr:rowOff>0</xdr:rowOff>
    </xdr:from>
    <xdr:to>
      <xdr:col>15</xdr:col>
      <xdr:colOff>590550</xdr:colOff>
      <xdr:row>100</xdr:row>
      <xdr:rowOff>0</xdr:rowOff>
    </xdr:to>
    <xdr:pic>
      <xdr:nvPicPr>
        <xdr:cNvPr id="102" name="Picture 19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20469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100</xdr:row>
      <xdr:rowOff>0</xdr:rowOff>
    </xdr:from>
    <xdr:to>
      <xdr:col>15</xdr:col>
      <xdr:colOff>190500</xdr:colOff>
      <xdr:row>101</xdr:row>
      <xdr:rowOff>0</xdr:rowOff>
    </xdr:to>
    <xdr:pic>
      <xdr:nvPicPr>
        <xdr:cNvPr id="103" name="Picture 195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20659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102</xdr:row>
      <xdr:rowOff>0</xdr:rowOff>
    </xdr:from>
    <xdr:to>
      <xdr:col>15</xdr:col>
      <xdr:colOff>190500</xdr:colOff>
      <xdr:row>102</xdr:row>
      <xdr:rowOff>190500</xdr:rowOff>
    </xdr:to>
    <xdr:pic>
      <xdr:nvPicPr>
        <xdr:cNvPr id="104" name="Picture 198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2104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102</xdr:row>
      <xdr:rowOff>0</xdr:rowOff>
    </xdr:from>
    <xdr:to>
      <xdr:col>15</xdr:col>
      <xdr:colOff>390525</xdr:colOff>
      <xdr:row>102</xdr:row>
      <xdr:rowOff>190500</xdr:rowOff>
    </xdr:to>
    <xdr:pic>
      <xdr:nvPicPr>
        <xdr:cNvPr id="105" name="Picture 19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2104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102</xdr:row>
      <xdr:rowOff>0</xdr:rowOff>
    </xdr:from>
    <xdr:to>
      <xdr:col>15</xdr:col>
      <xdr:colOff>590550</xdr:colOff>
      <xdr:row>102</xdr:row>
      <xdr:rowOff>190500</xdr:rowOff>
    </xdr:to>
    <xdr:pic>
      <xdr:nvPicPr>
        <xdr:cNvPr id="106" name="Picture 20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2104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102</xdr:row>
      <xdr:rowOff>0</xdr:rowOff>
    </xdr:from>
    <xdr:to>
      <xdr:col>15</xdr:col>
      <xdr:colOff>762000</xdr:colOff>
      <xdr:row>102</xdr:row>
      <xdr:rowOff>190500</xdr:rowOff>
    </xdr:to>
    <xdr:pic>
      <xdr:nvPicPr>
        <xdr:cNvPr id="107" name="Picture 20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572625" y="21040725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129</xdr:row>
      <xdr:rowOff>0</xdr:rowOff>
    </xdr:from>
    <xdr:to>
      <xdr:col>15</xdr:col>
      <xdr:colOff>190500</xdr:colOff>
      <xdr:row>130</xdr:row>
      <xdr:rowOff>0</xdr:rowOff>
    </xdr:to>
    <xdr:pic>
      <xdr:nvPicPr>
        <xdr:cNvPr id="108" name="Picture 204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1621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190500</xdr:colOff>
      <xdr:row>132</xdr:row>
      <xdr:rowOff>0</xdr:rowOff>
    </xdr:to>
    <xdr:pic>
      <xdr:nvPicPr>
        <xdr:cNvPr id="109" name="Picture 20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22002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132</xdr:row>
      <xdr:rowOff>0</xdr:rowOff>
    </xdr:from>
    <xdr:to>
      <xdr:col>15</xdr:col>
      <xdr:colOff>190500</xdr:colOff>
      <xdr:row>133</xdr:row>
      <xdr:rowOff>0</xdr:rowOff>
    </xdr:to>
    <xdr:pic>
      <xdr:nvPicPr>
        <xdr:cNvPr id="110" name="Picture 209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2193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133</xdr:row>
      <xdr:rowOff>0</xdr:rowOff>
    </xdr:from>
    <xdr:to>
      <xdr:col>15</xdr:col>
      <xdr:colOff>190500</xdr:colOff>
      <xdr:row>134</xdr:row>
      <xdr:rowOff>0</xdr:rowOff>
    </xdr:to>
    <xdr:pic>
      <xdr:nvPicPr>
        <xdr:cNvPr id="111" name="Picture 21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22383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134</xdr:row>
      <xdr:rowOff>0</xdr:rowOff>
    </xdr:from>
    <xdr:to>
      <xdr:col>15</xdr:col>
      <xdr:colOff>190500</xdr:colOff>
      <xdr:row>135</xdr:row>
      <xdr:rowOff>0</xdr:rowOff>
    </xdr:to>
    <xdr:pic>
      <xdr:nvPicPr>
        <xdr:cNvPr id="112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22574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134</xdr:row>
      <xdr:rowOff>0</xdr:rowOff>
    </xdr:from>
    <xdr:to>
      <xdr:col>15</xdr:col>
      <xdr:colOff>390525</xdr:colOff>
      <xdr:row>135</xdr:row>
      <xdr:rowOff>0</xdr:rowOff>
    </xdr:to>
    <xdr:pic>
      <xdr:nvPicPr>
        <xdr:cNvPr id="113" name="Picture 21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22574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190500</xdr:colOff>
      <xdr:row>136</xdr:row>
      <xdr:rowOff>0</xdr:rowOff>
    </xdr:to>
    <xdr:pic>
      <xdr:nvPicPr>
        <xdr:cNvPr id="114" name="Picture 216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22764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135</xdr:row>
      <xdr:rowOff>0</xdr:rowOff>
    </xdr:from>
    <xdr:to>
      <xdr:col>15</xdr:col>
      <xdr:colOff>390525</xdr:colOff>
      <xdr:row>136</xdr:row>
      <xdr:rowOff>0</xdr:rowOff>
    </xdr:to>
    <xdr:pic>
      <xdr:nvPicPr>
        <xdr:cNvPr id="115" name="Picture 217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22764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135</xdr:row>
      <xdr:rowOff>0</xdr:rowOff>
    </xdr:from>
    <xdr:to>
      <xdr:col>15</xdr:col>
      <xdr:colOff>590550</xdr:colOff>
      <xdr:row>136</xdr:row>
      <xdr:rowOff>0</xdr:rowOff>
    </xdr:to>
    <xdr:pic>
      <xdr:nvPicPr>
        <xdr:cNvPr id="116" name="Picture 21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22764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139</xdr:row>
      <xdr:rowOff>0</xdr:rowOff>
    </xdr:from>
    <xdr:to>
      <xdr:col>15</xdr:col>
      <xdr:colOff>190500</xdr:colOff>
      <xdr:row>140</xdr:row>
      <xdr:rowOff>0</xdr:rowOff>
    </xdr:to>
    <xdr:pic>
      <xdr:nvPicPr>
        <xdr:cNvPr id="117" name="Picture 223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3526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139</xdr:row>
      <xdr:rowOff>0</xdr:rowOff>
    </xdr:from>
    <xdr:to>
      <xdr:col>15</xdr:col>
      <xdr:colOff>390525</xdr:colOff>
      <xdr:row>140</xdr:row>
      <xdr:rowOff>0</xdr:rowOff>
    </xdr:to>
    <xdr:pic>
      <xdr:nvPicPr>
        <xdr:cNvPr id="118" name="Picture 224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172575" y="23526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140</xdr:row>
      <xdr:rowOff>0</xdr:rowOff>
    </xdr:from>
    <xdr:to>
      <xdr:col>15</xdr:col>
      <xdr:colOff>190500</xdr:colOff>
      <xdr:row>140</xdr:row>
      <xdr:rowOff>190500</xdr:rowOff>
    </xdr:to>
    <xdr:pic>
      <xdr:nvPicPr>
        <xdr:cNvPr id="119" name="Picture 226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23717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140</xdr:row>
      <xdr:rowOff>0</xdr:rowOff>
    </xdr:from>
    <xdr:to>
      <xdr:col>15</xdr:col>
      <xdr:colOff>390525</xdr:colOff>
      <xdr:row>140</xdr:row>
      <xdr:rowOff>190500</xdr:rowOff>
    </xdr:to>
    <xdr:pic>
      <xdr:nvPicPr>
        <xdr:cNvPr id="120" name="Picture 2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72575" y="23717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140</xdr:row>
      <xdr:rowOff>0</xdr:rowOff>
    </xdr:from>
    <xdr:to>
      <xdr:col>15</xdr:col>
      <xdr:colOff>590550</xdr:colOff>
      <xdr:row>140</xdr:row>
      <xdr:rowOff>190500</xdr:rowOff>
    </xdr:to>
    <xdr:pic>
      <xdr:nvPicPr>
        <xdr:cNvPr id="121" name="Picture 228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23717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140</xdr:row>
      <xdr:rowOff>0</xdr:rowOff>
    </xdr:from>
    <xdr:to>
      <xdr:col>15</xdr:col>
      <xdr:colOff>762000</xdr:colOff>
      <xdr:row>140</xdr:row>
      <xdr:rowOff>190500</xdr:rowOff>
    </xdr:to>
    <xdr:pic>
      <xdr:nvPicPr>
        <xdr:cNvPr id="122" name="Picture 229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72625" y="237172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140</xdr:row>
      <xdr:rowOff>0</xdr:rowOff>
    </xdr:from>
    <xdr:to>
      <xdr:col>15</xdr:col>
      <xdr:colOff>762000</xdr:colOff>
      <xdr:row>140</xdr:row>
      <xdr:rowOff>190500</xdr:rowOff>
    </xdr:to>
    <xdr:pic>
      <xdr:nvPicPr>
        <xdr:cNvPr id="123" name="Picture 229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72625" y="237172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147</xdr:row>
      <xdr:rowOff>0</xdr:rowOff>
    </xdr:from>
    <xdr:to>
      <xdr:col>15</xdr:col>
      <xdr:colOff>190500</xdr:colOff>
      <xdr:row>148</xdr:row>
      <xdr:rowOff>0</xdr:rowOff>
    </xdr:to>
    <xdr:pic>
      <xdr:nvPicPr>
        <xdr:cNvPr id="124" name="Picture 23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4107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148</xdr:row>
      <xdr:rowOff>0</xdr:rowOff>
    </xdr:from>
    <xdr:to>
      <xdr:col>15</xdr:col>
      <xdr:colOff>190500</xdr:colOff>
      <xdr:row>149</xdr:row>
      <xdr:rowOff>0</xdr:rowOff>
    </xdr:to>
    <xdr:pic>
      <xdr:nvPicPr>
        <xdr:cNvPr id="125" name="Picture 233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4298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149</xdr:row>
      <xdr:rowOff>0</xdr:rowOff>
    </xdr:from>
    <xdr:to>
      <xdr:col>15</xdr:col>
      <xdr:colOff>190500</xdr:colOff>
      <xdr:row>150</xdr:row>
      <xdr:rowOff>0</xdr:rowOff>
    </xdr:to>
    <xdr:pic>
      <xdr:nvPicPr>
        <xdr:cNvPr id="126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4488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150</xdr:row>
      <xdr:rowOff>0</xdr:rowOff>
    </xdr:from>
    <xdr:to>
      <xdr:col>15</xdr:col>
      <xdr:colOff>190500</xdr:colOff>
      <xdr:row>151</xdr:row>
      <xdr:rowOff>0</xdr:rowOff>
    </xdr:to>
    <xdr:pic>
      <xdr:nvPicPr>
        <xdr:cNvPr id="127" name="Picture 23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24679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150</xdr:row>
      <xdr:rowOff>0</xdr:rowOff>
    </xdr:from>
    <xdr:to>
      <xdr:col>15</xdr:col>
      <xdr:colOff>390525</xdr:colOff>
      <xdr:row>151</xdr:row>
      <xdr:rowOff>0</xdr:rowOff>
    </xdr:to>
    <xdr:pic>
      <xdr:nvPicPr>
        <xdr:cNvPr id="128" name="Picture 23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24679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151</xdr:row>
      <xdr:rowOff>0</xdr:rowOff>
    </xdr:from>
    <xdr:to>
      <xdr:col>15</xdr:col>
      <xdr:colOff>190500</xdr:colOff>
      <xdr:row>152</xdr:row>
      <xdr:rowOff>0</xdr:rowOff>
    </xdr:to>
    <xdr:pic>
      <xdr:nvPicPr>
        <xdr:cNvPr id="129" name="Picture 24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4869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152</xdr:row>
      <xdr:rowOff>0</xdr:rowOff>
    </xdr:from>
    <xdr:to>
      <xdr:col>15</xdr:col>
      <xdr:colOff>190500</xdr:colOff>
      <xdr:row>153</xdr:row>
      <xdr:rowOff>0</xdr:rowOff>
    </xdr:to>
    <xdr:pic>
      <xdr:nvPicPr>
        <xdr:cNvPr id="130" name="Picture 24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5060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152</xdr:row>
      <xdr:rowOff>0</xdr:rowOff>
    </xdr:from>
    <xdr:to>
      <xdr:col>15</xdr:col>
      <xdr:colOff>390525</xdr:colOff>
      <xdr:row>153</xdr:row>
      <xdr:rowOff>0</xdr:rowOff>
    </xdr:to>
    <xdr:pic>
      <xdr:nvPicPr>
        <xdr:cNvPr id="131" name="Picture 2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25060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153</xdr:row>
      <xdr:rowOff>0</xdr:rowOff>
    </xdr:from>
    <xdr:to>
      <xdr:col>15</xdr:col>
      <xdr:colOff>190500</xdr:colOff>
      <xdr:row>154</xdr:row>
      <xdr:rowOff>0</xdr:rowOff>
    </xdr:to>
    <xdr:pic>
      <xdr:nvPicPr>
        <xdr:cNvPr id="132" name="Picture 24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5250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153</xdr:row>
      <xdr:rowOff>0</xdr:rowOff>
    </xdr:from>
    <xdr:to>
      <xdr:col>15</xdr:col>
      <xdr:colOff>390525</xdr:colOff>
      <xdr:row>154</xdr:row>
      <xdr:rowOff>0</xdr:rowOff>
    </xdr:to>
    <xdr:pic>
      <xdr:nvPicPr>
        <xdr:cNvPr id="133" name="Picture 24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25250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154</xdr:row>
      <xdr:rowOff>0</xdr:rowOff>
    </xdr:from>
    <xdr:to>
      <xdr:col>15</xdr:col>
      <xdr:colOff>190500</xdr:colOff>
      <xdr:row>155</xdr:row>
      <xdr:rowOff>0</xdr:rowOff>
    </xdr:to>
    <xdr:pic>
      <xdr:nvPicPr>
        <xdr:cNvPr id="134" name="Picture 248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5441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154</xdr:row>
      <xdr:rowOff>0</xdr:rowOff>
    </xdr:from>
    <xdr:to>
      <xdr:col>15</xdr:col>
      <xdr:colOff>390525</xdr:colOff>
      <xdr:row>155</xdr:row>
      <xdr:rowOff>0</xdr:rowOff>
    </xdr:to>
    <xdr:pic>
      <xdr:nvPicPr>
        <xdr:cNvPr id="135" name="Picture 24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25441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154</xdr:row>
      <xdr:rowOff>0</xdr:rowOff>
    </xdr:from>
    <xdr:to>
      <xdr:col>15</xdr:col>
      <xdr:colOff>590550</xdr:colOff>
      <xdr:row>155</xdr:row>
      <xdr:rowOff>0</xdr:rowOff>
    </xdr:to>
    <xdr:pic>
      <xdr:nvPicPr>
        <xdr:cNvPr id="136" name="Picture 250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25441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155</xdr:row>
      <xdr:rowOff>0</xdr:rowOff>
    </xdr:from>
    <xdr:to>
      <xdr:col>15</xdr:col>
      <xdr:colOff>190500</xdr:colOff>
      <xdr:row>156</xdr:row>
      <xdr:rowOff>0</xdr:rowOff>
    </xdr:to>
    <xdr:pic>
      <xdr:nvPicPr>
        <xdr:cNvPr id="137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5631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156</xdr:row>
      <xdr:rowOff>0</xdr:rowOff>
    </xdr:from>
    <xdr:to>
      <xdr:col>15</xdr:col>
      <xdr:colOff>190500</xdr:colOff>
      <xdr:row>157</xdr:row>
      <xdr:rowOff>0</xdr:rowOff>
    </xdr:to>
    <xdr:pic>
      <xdr:nvPicPr>
        <xdr:cNvPr id="138" name="Picture 25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25822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157</xdr:row>
      <xdr:rowOff>0</xdr:rowOff>
    </xdr:from>
    <xdr:to>
      <xdr:col>15</xdr:col>
      <xdr:colOff>190500</xdr:colOff>
      <xdr:row>158</xdr:row>
      <xdr:rowOff>0</xdr:rowOff>
    </xdr:to>
    <xdr:pic>
      <xdr:nvPicPr>
        <xdr:cNvPr id="139" name="Picture 25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6012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157</xdr:row>
      <xdr:rowOff>0</xdr:rowOff>
    </xdr:from>
    <xdr:to>
      <xdr:col>15</xdr:col>
      <xdr:colOff>390525</xdr:colOff>
      <xdr:row>158</xdr:row>
      <xdr:rowOff>0</xdr:rowOff>
    </xdr:to>
    <xdr:pic>
      <xdr:nvPicPr>
        <xdr:cNvPr id="140" name="Picture 25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26012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157</xdr:row>
      <xdr:rowOff>0</xdr:rowOff>
    </xdr:from>
    <xdr:to>
      <xdr:col>15</xdr:col>
      <xdr:colOff>590550</xdr:colOff>
      <xdr:row>158</xdr:row>
      <xdr:rowOff>0</xdr:rowOff>
    </xdr:to>
    <xdr:pic>
      <xdr:nvPicPr>
        <xdr:cNvPr id="141" name="Picture 25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26012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158</xdr:row>
      <xdr:rowOff>0</xdr:rowOff>
    </xdr:from>
    <xdr:to>
      <xdr:col>15</xdr:col>
      <xdr:colOff>190500</xdr:colOff>
      <xdr:row>159</xdr:row>
      <xdr:rowOff>0</xdr:rowOff>
    </xdr:to>
    <xdr:pic>
      <xdr:nvPicPr>
        <xdr:cNvPr id="142" name="Picture 260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6203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158</xdr:row>
      <xdr:rowOff>0</xdr:rowOff>
    </xdr:from>
    <xdr:to>
      <xdr:col>15</xdr:col>
      <xdr:colOff>390525</xdr:colOff>
      <xdr:row>159</xdr:row>
      <xdr:rowOff>0</xdr:rowOff>
    </xdr:to>
    <xdr:pic>
      <xdr:nvPicPr>
        <xdr:cNvPr id="143" name="Picture 26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26203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159</xdr:row>
      <xdr:rowOff>0</xdr:rowOff>
    </xdr:from>
    <xdr:to>
      <xdr:col>15</xdr:col>
      <xdr:colOff>190500</xdr:colOff>
      <xdr:row>159</xdr:row>
      <xdr:rowOff>190500</xdr:rowOff>
    </xdr:to>
    <xdr:pic>
      <xdr:nvPicPr>
        <xdr:cNvPr id="145" name="Picture 264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2639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159</xdr:row>
      <xdr:rowOff>0</xdr:rowOff>
    </xdr:from>
    <xdr:to>
      <xdr:col>15</xdr:col>
      <xdr:colOff>390525</xdr:colOff>
      <xdr:row>159</xdr:row>
      <xdr:rowOff>190500</xdr:rowOff>
    </xdr:to>
    <xdr:pic>
      <xdr:nvPicPr>
        <xdr:cNvPr id="146" name="Picture 26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2639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159</xdr:row>
      <xdr:rowOff>0</xdr:rowOff>
    </xdr:from>
    <xdr:to>
      <xdr:col>15</xdr:col>
      <xdr:colOff>590550</xdr:colOff>
      <xdr:row>159</xdr:row>
      <xdr:rowOff>190500</xdr:rowOff>
    </xdr:to>
    <xdr:pic>
      <xdr:nvPicPr>
        <xdr:cNvPr id="147" name="Picture 26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2639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159</xdr:row>
      <xdr:rowOff>0</xdr:rowOff>
    </xdr:from>
    <xdr:to>
      <xdr:col>15</xdr:col>
      <xdr:colOff>762000</xdr:colOff>
      <xdr:row>159</xdr:row>
      <xdr:rowOff>190500</xdr:rowOff>
    </xdr:to>
    <xdr:pic>
      <xdr:nvPicPr>
        <xdr:cNvPr id="148" name="Picture 267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72625" y="26393775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161</xdr:row>
      <xdr:rowOff>0</xdr:rowOff>
    </xdr:from>
    <xdr:to>
      <xdr:col>15</xdr:col>
      <xdr:colOff>190500</xdr:colOff>
      <xdr:row>162</xdr:row>
      <xdr:rowOff>0</xdr:rowOff>
    </xdr:to>
    <xdr:pic>
      <xdr:nvPicPr>
        <xdr:cNvPr id="149" name="Picture 26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6784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161</xdr:row>
      <xdr:rowOff>0</xdr:rowOff>
    </xdr:from>
    <xdr:to>
      <xdr:col>15</xdr:col>
      <xdr:colOff>390525</xdr:colOff>
      <xdr:row>162</xdr:row>
      <xdr:rowOff>0</xdr:rowOff>
    </xdr:to>
    <xdr:pic>
      <xdr:nvPicPr>
        <xdr:cNvPr id="150" name="Picture 270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26784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161</xdr:row>
      <xdr:rowOff>0</xdr:rowOff>
    </xdr:from>
    <xdr:to>
      <xdr:col>15</xdr:col>
      <xdr:colOff>590550</xdr:colOff>
      <xdr:row>162</xdr:row>
      <xdr:rowOff>0</xdr:rowOff>
    </xdr:to>
    <xdr:pic>
      <xdr:nvPicPr>
        <xdr:cNvPr id="151" name="Picture 271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26784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162</xdr:row>
      <xdr:rowOff>0</xdr:rowOff>
    </xdr:from>
    <xdr:to>
      <xdr:col>15</xdr:col>
      <xdr:colOff>190500</xdr:colOff>
      <xdr:row>163</xdr:row>
      <xdr:rowOff>0</xdr:rowOff>
    </xdr:to>
    <xdr:pic>
      <xdr:nvPicPr>
        <xdr:cNvPr id="152" name="Picture 27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8972550" y="26974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163</xdr:row>
      <xdr:rowOff>0</xdr:rowOff>
    </xdr:from>
    <xdr:to>
      <xdr:col>15</xdr:col>
      <xdr:colOff>190500</xdr:colOff>
      <xdr:row>164</xdr:row>
      <xdr:rowOff>0</xdr:rowOff>
    </xdr:to>
    <xdr:pic>
      <xdr:nvPicPr>
        <xdr:cNvPr id="153" name="Picture 275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7165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164</xdr:row>
      <xdr:rowOff>0</xdr:rowOff>
    </xdr:from>
    <xdr:to>
      <xdr:col>15</xdr:col>
      <xdr:colOff>190500</xdr:colOff>
      <xdr:row>165</xdr:row>
      <xdr:rowOff>0</xdr:rowOff>
    </xdr:to>
    <xdr:pic>
      <xdr:nvPicPr>
        <xdr:cNvPr id="154" name="Picture 27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7355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164</xdr:row>
      <xdr:rowOff>0</xdr:rowOff>
    </xdr:from>
    <xdr:to>
      <xdr:col>15</xdr:col>
      <xdr:colOff>390525</xdr:colOff>
      <xdr:row>165</xdr:row>
      <xdr:rowOff>0</xdr:rowOff>
    </xdr:to>
    <xdr:pic>
      <xdr:nvPicPr>
        <xdr:cNvPr id="155" name="Picture 27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27355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165</xdr:row>
      <xdr:rowOff>0</xdr:rowOff>
    </xdr:from>
    <xdr:to>
      <xdr:col>15</xdr:col>
      <xdr:colOff>190500</xdr:colOff>
      <xdr:row>166</xdr:row>
      <xdr:rowOff>0</xdr:rowOff>
    </xdr:to>
    <xdr:pic>
      <xdr:nvPicPr>
        <xdr:cNvPr id="156" name="Picture 280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7546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166</xdr:row>
      <xdr:rowOff>0</xdr:rowOff>
    </xdr:from>
    <xdr:to>
      <xdr:col>15</xdr:col>
      <xdr:colOff>190500</xdr:colOff>
      <xdr:row>167</xdr:row>
      <xdr:rowOff>0</xdr:rowOff>
    </xdr:to>
    <xdr:pic>
      <xdr:nvPicPr>
        <xdr:cNvPr id="157" name="Picture 282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7736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167</xdr:row>
      <xdr:rowOff>0</xdr:rowOff>
    </xdr:from>
    <xdr:to>
      <xdr:col>15</xdr:col>
      <xdr:colOff>190500</xdr:colOff>
      <xdr:row>168</xdr:row>
      <xdr:rowOff>0</xdr:rowOff>
    </xdr:to>
    <xdr:pic>
      <xdr:nvPicPr>
        <xdr:cNvPr id="158" name="Picture 284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7927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168</xdr:row>
      <xdr:rowOff>0</xdr:rowOff>
    </xdr:from>
    <xdr:to>
      <xdr:col>15</xdr:col>
      <xdr:colOff>190500</xdr:colOff>
      <xdr:row>169</xdr:row>
      <xdr:rowOff>0</xdr:rowOff>
    </xdr:to>
    <xdr:pic>
      <xdr:nvPicPr>
        <xdr:cNvPr id="159" name="Picture 28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8117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168</xdr:row>
      <xdr:rowOff>0</xdr:rowOff>
    </xdr:from>
    <xdr:to>
      <xdr:col>15</xdr:col>
      <xdr:colOff>390525</xdr:colOff>
      <xdr:row>169</xdr:row>
      <xdr:rowOff>0</xdr:rowOff>
    </xdr:to>
    <xdr:pic>
      <xdr:nvPicPr>
        <xdr:cNvPr id="160" name="Picture 287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28117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169</xdr:row>
      <xdr:rowOff>0</xdr:rowOff>
    </xdr:from>
    <xdr:to>
      <xdr:col>15</xdr:col>
      <xdr:colOff>190500</xdr:colOff>
      <xdr:row>170</xdr:row>
      <xdr:rowOff>0</xdr:rowOff>
    </xdr:to>
    <xdr:pic>
      <xdr:nvPicPr>
        <xdr:cNvPr id="161" name="Picture 28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8308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170</xdr:row>
      <xdr:rowOff>0</xdr:rowOff>
    </xdr:from>
    <xdr:to>
      <xdr:col>15</xdr:col>
      <xdr:colOff>190500</xdr:colOff>
      <xdr:row>171</xdr:row>
      <xdr:rowOff>0</xdr:rowOff>
    </xdr:to>
    <xdr:pic>
      <xdr:nvPicPr>
        <xdr:cNvPr id="162" name="Picture 291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28498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170</xdr:row>
      <xdr:rowOff>0</xdr:rowOff>
    </xdr:from>
    <xdr:to>
      <xdr:col>15</xdr:col>
      <xdr:colOff>390525</xdr:colOff>
      <xdr:row>171</xdr:row>
      <xdr:rowOff>0</xdr:rowOff>
    </xdr:to>
    <xdr:pic>
      <xdr:nvPicPr>
        <xdr:cNvPr id="163" name="Picture 292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28498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170</xdr:row>
      <xdr:rowOff>0</xdr:rowOff>
    </xdr:from>
    <xdr:to>
      <xdr:col>15</xdr:col>
      <xdr:colOff>590550</xdr:colOff>
      <xdr:row>171</xdr:row>
      <xdr:rowOff>0</xdr:rowOff>
    </xdr:to>
    <xdr:pic>
      <xdr:nvPicPr>
        <xdr:cNvPr id="164" name="Picture 29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28498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171</xdr:row>
      <xdr:rowOff>0</xdr:rowOff>
    </xdr:from>
    <xdr:to>
      <xdr:col>15</xdr:col>
      <xdr:colOff>190500</xdr:colOff>
      <xdr:row>172</xdr:row>
      <xdr:rowOff>0</xdr:rowOff>
    </xdr:to>
    <xdr:pic>
      <xdr:nvPicPr>
        <xdr:cNvPr id="165" name="Picture 29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8689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171</xdr:row>
      <xdr:rowOff>0</xdr:rowOff>
    </xdr:from>
    <xdr:to>
      <xdr:col>15</xdr:col>
      <xdr:colOff>390525</xdr:colOff>
      <xdr:row>172</xdr:row>
      <xdr:rowOff>0</xdr:rowOff>
    </xdr:to>
    <xdr:pic>
      <xdr:nvPicPr>
        <xdr:cNvPr id="166" name="Picture 29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28689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172</xdr:row>
      <xdr:rowOff>0</xdr:rowOff>
    </xdr:from>
    <xdr:to>
      <xdr:col>15</xdr:col>
      <xdr:colOff>190500</xdr:colOff>
      <xdr:row>173</xdr:row>
      <xdr:rowOff>0</xdr:rowOff>
    </xdr:to>
    <xdr:pic>
      <xdr:nvPicPr>
        <xdr:cNvPr id="167" name="Picture 29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8879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172</xdr:row>
      <xdr:rowOff>0</xdr:rowOff>
    </xdr:from>
    <xdr:to>
      <xdr:col>15</xdr:col>
      <xdr:colOff>390525</xdr:colOff>
      <xdr:row>173</xdr:row>
      <xdr:rowOff>0</xdr:rowOff>
    </xdr:to>
    <xdr:pic>
      <xdr:nvPicPr>
        <xdr:cNvPr id="168" name="Picture 29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28879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172</xdr:row>
      <xdr:rowOff>0</xdr:rowOff>
    </xdr:from>
    <xdr:to>
      <xdr:col>15</xdr:col>
      <xdr:colOff>590550</xdr:colOff>
      <xdr:row>173</xdr:row>
      <xdr:rowOff>0</xdr:rowOff>
    </xdr:to>
    <xdr:pic>
      <xdr:nvPicPr>
        <xdr:cNvPr id="169" name="Picture 300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28879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173</xdr:row>
      <xdr:rowOff>0</xdr:rowOff>
    </xdr:from>
    <xdr:to>
      <xdr:col>15</xdr:col>
      <xdr:colOff>190500</xdr:colOff>
      <xdr:row>173</xdr:row>
      <xdr:rowOff>190500</xdr:rowOff>
    </xdr:to>
    <xdr:pic>
      <xdr:nvPicPr>
        <xdr:cNvPr id="170" name="Picture 3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9070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173</xdr:row>
      <xdr:rowOff>0</xdr:rowOff>
    </xdr:from>
    <xdr:to>
      <xdr:col>15</xdr:col>
      <xdr:colOff>390525</xdr:colOff>
      <xdr:row>173</xdr:row>
      <xdr:rowOff>190500</xdr:rowOff>
    </xdr:to>
    <xdr:pic>
      <xdr:nvPicPr>
        <xdr:cNvPr id="171" name="Picture 303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29070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173</xdr:row>
      <xdr:rowOff>0</xdr:rowOff>
    </xdr:from>
    <xdr:to>
      <xdr:col>15</xdr:col>
      <xdr:colOff>590550</xdr:colOff>
      <xdr:row>173</xdr:row>
      <xdr:rowOff>190500</xdr:rowOff>
    </xdr:to>
    <xdr:pic>
      <xdr:nvPicPr>
        <xdr:cNvPr id="172" name="Picture 304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29070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173</xdr:row>
      <xdr:rowOff>0</xdr:rowOff>
    </xdr:from>
    <xdr:to>
      <xdr:col>15</xdr:col>
      <xdr:colOff>762000</xdr:colOff>
      <xdr:row>173</xdr:row>
      <xdr:rowOff>190500</xdr:rowOff>
    </xdr:to>
    <xdr:pic>
      <xdr:nvPicPr>
        <xdr:cNvPr id="173" name="Picture 305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572625" y="2907030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175</xdr:row>
      <xdr:rowOff>0</xdr:rowOff>
    </xdr:from>
    <xdr:to>
      <xdr:col>15</xdr:col>
      <xdr:colOff>190500</xdr:colOff>
      <xdr:row>176</xdr:row>
      <xdr:rowOff>0</xdr:rowOff>
    </xdr:to>
    <xdr:pic>
      <xdr:nvPicPr>
        <xdr:cNvPr id="174" name="Picture 30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9460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175</xdr:row>
      <xdr:rowOff>0</xdr:rowOff>
    </xdr:from>
    <xdr:to>
      <xdr:col>15</xdr:col>
      <xdr:colOff>390525</xdr:colOff>
      <xdr:row>176</xdr:row>
      <xdr:rowOff>0</xdr:rowOff>
    </xdr:to>
    <xdr:pic>
      <xdr:nvPicPr>
        <xdr:cNvPr id="175" name="Picture 30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29460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178</xdr:row>
      <xdr:rowOff>0</xdr:rowOff>
    </xdr:from>
    <xdr:to>
      <xdr:col>15</xdr:col>
      <xdr:colOff>190500</xdr:colOff>
      <xdr:row>179</xdr:row>
      <xdr:rowOff>0</xdr:rowOff>
    </xdr:to>
    <xdr:pic>
      <xdr:nvPicPr>
        <xdr:cNvPr id="176" name="Picture 312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30032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178</xdr:row>
      <xdr:rowOff>0</xdr:rowOff>
    </xdr:from>
    <xdr:to>
      <xdr:col>15</xdr:col>
      <xdr:colOff>390525</xdr:colOff>
      <xdr:row>179</xdr:row>
      <xdr:rowOff>0</xdr:rowOff>
    </xdr:to>
    <xdr:pic>
      <xdr:nvPicPr>
        <xdr:cNvPr id="177" name="Picture 31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30032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180</xdr:row>
      <xdr:rowOff>0</xdr:rowOff>
    </xdr:from>
    <xdr:to>
      <xdr:col>15</xdr:col>
      <xdr:colOff>190500</xdr:colOff>
      <xdr:row>181</xdr:row>
      <xdr:rowOff>0</xdr:rowOff>
    </xdr:to>
    <xdr:pic>
      <xdr:nvPicPr>
        <xdr:cNvPr id="178" name="Picture 31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30413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181</xdr:row>
      <xdr:rowOff>0</xdr:rowOff>
    </xdr:from>
    <xdr:to>
      <xdr:col>15</xdr:col>
      <xdr:colOff>190500</xdr:colOff>
      <xdr:row>182</xdr:row>
      <xdr:rowOff>0</xdr:rowOff>
    </xdr:to>
    <xdr:pic>
      <xdr:nvPicPr>
        <xdr:cNvPr id="179" name="Picture 31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30603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181</xdr:row>
      <xdr:rowOff>0</xdr:rowOff>
    </xdr:from>
    <xdr:to>
      <xdr:col>15</xdr:col>
      <xdr:colOff>390525</xdr:colOff>
      <xdr:row>182</xdr:row>
      <xdr:rowOff>0</xdr:rowOff>
    </xdr:to>
    <xdr:pic>
      <xdr:nvPicPr>
        <xdr:cNvPr id="180" name="Picture 31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30603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182</xdr:row>
      <xdr:rowOff>0</xdr:rowOff>
    </xdr:from>
    <xdr:to>
      <xdr:col>15</xdr:col>
      <xdr:colOff>190500</xdr:colOff>
      <xdr:row>183</xdr:row>
      <xdr:rowOff>0</xdr:rowOff>
    </xdr:to>
    <xdr:pic>
      <xdr:nvPicPr>
        <xdr:cNvPr id="181" name="Picture 321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0794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182</xdr:row>
      <xdr:rowOff>0</xdr:rowOff>
    </xdr:from>
    <xdr:to>
      <xdr:col>15</xdr:col>
      <xdr:colOff>390525</xdr:colOff>
      <xdr:row>183</xdr:row>
      <xdr:rowOff>0</xdr:rowOff>
    </xdr:to>
    <xdr:pic>
      <xdr:nvPicPr>
        <xdr:cNvPr id="182" name="Picture 32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30794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183</xdr:row>
      <xdr:rowOff>0</xdr:rowOff>
    </xdr:from>
    <xdr:to>
      <xdr:col>15</xdr:col>
      <xdr:colOff>190500</xdr:colOff>
      <xdr:row>184</xdr:row>
      <xdr:rowOff>0</xdr:rowOff>
    </xdr:to>
    <xdr:pic>
      <xdr:nvPicPr>
        <xdr:cNvPr id="183" name="Picture 32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0984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183</xdr:row>
      <xdr:rowOff>0</xdr:rowOff>
    </xdr:from>
    <xdr:to>
      <xdr:col>15</xdr:col>
      <xdr:colOff>390525</xdr:colOff>
      <xdr:row>184</xdr:row>
      <xdr:rowOff>0</xdr:rowOff>
    </xdr:to>
    <xdr:pic>
      <xdr:nvPicPr>
        <xdr:cNvPr id="184" name="Picture 325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30984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184</xdr:row>
      <xdr:rowOff>0</xdr:rowOff>
    </xdr:from>
    <xdr:to>
      <xdr:col>15</xdr:col>
      <xdr:colOff>190500</xdr:colOff>
      <xdr:row>185</xdr:row>
      <xdr:rowOff>0</xdr:rowOff>
    </xdr:to>
    <xdr:pic>
      <xdr:nvPicPr>
        <xdr:cNvPr id="185" name="Picture 3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1175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184</xdr:row>
      <xdr:rowOff>0</xdr:rowOff>
    </xdr:from>
    <xdr:to>
      <xdr:col>15</xdr:col>
      <xdr:colOff>390525</xdr:colOff>
      <xdr:row>185</xdr:row>
      <xdr:rowOff>0</xdr:rowOff>
    </xdr:to>
    <xdr:pic>
      <xdr:nvPicPr>
        <xdr:cNvPr id="186" name="Picture 32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31175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185</xdr:row>
      <xdr:rowOff>0</xdr:rowOff>
    </xdr:from>
    <xdr:to>
      <xdr:col>15</xdr:col>
      <xdr:colOff>190500</xdr:colOff>
      <xdr:row>186</xdr:row>
      <xdr:rowOff>0</xdr:rowOff>
    </xdr:to>
    <xdr:pic>
      <xdr:nvPicPr>
        <xdr:cNvPr id="187" name="Picture 330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31365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185</xdr:row>
      <xdr:rowOff>0</xdr:rowOff>
    </xdr:from>
    <xdr:to>
      <xdr:col>15</xdr:col>
      <xdr:colOff>390525</xdr:colOff>
      <xdr:row>186</xdr:row>
      <xdr:rowOff>0</xdr:rowOff>
    </xdr:to>
    <xdr:pic>
      <xdr:nvPicPr>
        <xdr:cNvPr id="188" name="Picture 33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31365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187</xdr:row>
      <xdr:rowOff>0</xdr:rowOff>
    </xdr:from>
    <xdr:to>
      <xdr:col>15</xdr:col>
      <xdr:colOff>190500</xdr:colOff>
      <xdr:row>187</xdr:row>
      <xdr:rowOff>190500</xdr:rowOff>
    </xdr:to>
    <xdr:pic>
      <xdr:nvPicPr>
        <xdr:cNvPr id="189" name="Picture 33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31746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314</xdr:row>
      <xdr:rowOff>0</xdr:rowOff>
    </xdr:from>
    <xdr:to>
      <xdr:col>15</xdr:col>
      <xdr:colOff>190500</xdr:colOff>
      <xdr:row>315</xdr:row>
      <xdr:rowOff>0</xdr:rowOff>
    </xdr:to>
    <xdr:pic>
      <xdr:nvPicPr>
        <xdr:cNvPr id="190" name="Picture 33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323278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315</xdr:row>
      <xdr:rowOff>0</xdr:rowOff>
    </xdr:from>
    <xdr:to>
      <xdr:col>15</xdr:col>
      <xdr:colOff>190500</xdr:colOff>
      <xdr:row>316</xdr:row>
      <xdr:rowOff>0</xdr:rowOff>
    </xdr:to>
    <xdr:pic>
      <xdr:nvPicPr>
        <xdr:cNvPr id="191" name="Picture 33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8972550" y="325183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316</xdr:row>
      <xdr:rowOff>0</xdr:rowOff>
    </xdr:from>
    <xdr:to>
      <xdr:col>15</xdr:col>
      <xdr:colOff>190500</xdr:colOff>
      <xdr:row>316</xdr:row>
      <xdr:rowOff>190500</xdr:rowOff>
    </xdr:to>
    <xdr:pic>
      <xdr:nvPicPr>
        <xdr:cNvPr id="192" name="Picture 3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327088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194</xdr:row>
      <xdr:rowOff>0</xdr:rowOff>
    </xdr:from>
    <xdr:to>
      <xdr:col>15</xdr:col>
      <xdr:colOff>190500</xdr:colOff>
      <xdr:row>195</xdr:row>
      <xdr:rowOff>0</xdr:rowOff>
    </xdr:to>
    <xdr:pic>
      <xdr:nvPicPr>
        <xdr:cNvPr id="193" name="Picture 3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33099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195</xdr:row>
      <xdr:rowOff>0</xdr:rowOff>
    </xdr:from>
    <xdr:to>
      <xdr:col>15</xdr:col>
      <xdr:colOff>190500</xdr:colOff>
      <xdr:row>196</xdr:row>
      <xdr:rowOff>0</xdr:rowOff>
    </xdr:to>
    <xdr:pic>
      <xdr:nvPicPr>
        <xdr:cNvPr id="194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8972550" y="332898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196</xdr:row>
      <xdr:rowOff>0</xdr:rowOff>
    </xdr:from>
    <xdr:to>
      <xdr:col>15</xdr:col>
      <xdr:colOff>190500</xdr:colOff>
      <xdr:row>197</xdr:row>
      <xdr:rowOff>0</xdr:rowOff>
    </xdr:to>
    <xdr:pic>
      <xdr:nvPicPr>
        <xdr:cNvPr id="195" name="Picture 347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33480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200</xdr:row>
      <xdr:rowOff>0</xdr:rowOff>
    </xdr:from>
    <xdr:to>
      <xdr:col>15</xdr:col>
      <xdr:colOff>190500</xdr:colOff>
      <xdr:row>201</xdr:row>
      <xdr:rowOff>0</xdr:rowOff>
    </xdr:to>
    <xdr:pic>
      <xdr:nvPicPr>
        <xdr:cNvPr id="196" name="Picture 3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34242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201</xdr:row>
      <xdr:rowOff>0</xdr:rowOff>
    </xdr:from>
    <xdr:to>
      <xdr:col>15</xdr:col>
      <xdr:colOff>190500</xdr:colOff>
      <xdr:row>202</xdr:row>
      <xdr:rowOff>0</xdr:rowOff>
    </xdr:to>
    <xdr:pic>
      <xdr:nvPicPr>
        <xdr:cNvPr id="197" name="Picture 354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344328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201</xdr:row>
      <xdr:rowOff>0</xdr:rowOff>
    </xdr:from>
    <xdr:to>
      <xdr:col>15</xdr:col>
      <xdr:colOff>390525</xdr:colOff>
      <xdr:row>202</xdr:row>
      <xdr:rowOff>0</xdr:rowOff>
    </xdr:to>
    <xdr:pic>
      <xdr:nvPicPr>
        <xdr:cNvPr id="198" name="Picture 355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344328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202</xdr:row>
      <xdr:rowOff>0</xdr:rowOff>
    </xdr:from>
    <xdr:to>
      <xdr:col>15</xdr:col>
      <xdr:colOff>190500</xdr:colOff>
      <xdr:row>203</xdr:row>
      <xdr:rowOff>0</xdr:rowOff>
    </xdr:to>
    <xdr:pic>
      <xdr:nvPicPr>
        <xdr:cNvPr id="199" name="Picture 357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4623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202</xdr:row>
      <xdr:rowOff>0</xdr:rowOff>
    </xdr:from>
    <xdr:to>
      <xdr:col>15</xdr:col>
      <xdr:colOff>390525</xdr:colOff>
      <xdr:row>203</xdr:row>
      <xdr:rowOff>0</xdr:rowOff>
    </xdr:to>
    <xdr:pic>
      <xdr:nvPicPr>
        <xdr:cNvPr id="200" name="Picture 358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34623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202</xdr:row>
      <xdr:rowOff>0</xdr:rowOff>
    </xdr:from>
    <xdr:to>
      <xdr:col>15</xdr:col>
      <xdr:colOff>590550</xdr:colOff>
      <xdr:row>203</xdr:row>
      <xdr:rowOff>0</xdr:rowOff>
    </xdr:to>
    <xdr:pic>
      <xdr:nvPicPr>
        <xdr:cNvPr id="201" name="Picture 35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34623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204</xdr:row>
      <xdr:rowOff>0</xdr:rowOff>
    </xdr:from>
    <xdr:to>
      <xdr:col>15</xdr:col>
      <xdr:colOff>190500</xdr:colOff>
      <xdr:row>205</xdr:row>
      <xdr:rowOff>0</xdr:rowOff>
    </xdr:to>
    <xdr:pic>
      <xdr:nvPicPr>
        <xdr:cNvPr id="202" name="Picture 362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35004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205</xdr:row>
      <xdr:rowOff>0</xdr:rowOff>
    </xdr:from>
    <xdr:to>
      <xdr:col>15</xdr:col>
      <xdr:colOff>190500</xdr:colOff>
      <xdr:row>206</xdr:row>
      <xdr:rowOff>0</xdr:rowOff>
    </xdr:to>
    <xdr:pic>
      <xdr:nvPicPr>
        <xdr:cNvPr id="203" name="Picture 364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351948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206</xdr:row>
      <xdr:rowOff>0</xdr:rowOff>
    </xdr:from>
    <xdr:to>
      <xdr:col>15</xdr:col>
      <xdr:colOff>190500</xdr:colOff>
      <xdr:row>206</xdr:row>
      <xdr:rowOff>190500</xdr:rowOff>
    </xdr:to>
    <xdr:pic>
      <xdr:nvPicPr>
        <xdr:cNvPr id="205" name="Picture 36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3538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206</xdr:row>
      <xdr:rowOff>0</xdr:rowOff>
    </xdr:from>
    <xdr:to>
      <xdr:col>15</xdr:col>
      <xdr:colOff>390525</xdr:colOff>
      <xdr:row>206</xdr:row>
      <xdr:rowOff>190500</xdr:rowOff>
    </xdr:to>
    <xdr:pic>
      <xdr:nvPicPr>
        <xdr:cNvPr id="206" name="Picture 36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3538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206</xdr:row>
      <xdr:rowOff>0</xdr:rowOff>
    </xdr:from>
    <xdr:to>
      <xdr:col>15</xdr:col>
      <xdr:colOff>590550</xdr:colOff>
      <xdr:row>206</xdr:row>
      <xdr:rowOff>190500</xdr:rowOff>
    </xdr:to>
    <xdr:pic>
      <xdr:nvPicPr>
        <xdr:cNvPr id="207" name="Picture 36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3538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319</xdr:row>
      <xdr:rowOff>0</xdr:rowOff>
    </xdr:from>
    <xdr:to>
      <xdr:col>15</xdr:col>
      <xdr:colOff>190500</xdr:colOff>
      <xdr:row>320</xdr:row>
      <xdr:rowOff>0</xdr:rowOff>
    </xdr:to>
    <xdr:pic>
      <xdr:nvPicPr>
        <xdr:cNvPr id="208" name="Picture 37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35966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320</xdr:row>
      <xdr:rowOff>0</xdr:rowOff>
    </xdr:from>
    <xdr:to>
      <xdr:col>15</xdr:col>
      <xdr:colOff>190500</xdr:colOff>
      <xdr:row>321</xdr:row>
      <xdr:rowOff>0</xdr:rowOff>
    </xdr:to>
    <xdr:pic>
      <xdr:nvPicPr>
        <xdr:cNvPr id="209" name="Picture 374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6156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321</xdr:row>
      <xdr:rowOff>0</xdr:rowOff>
    </xdr:from>
    <xdr:to>
      <xdr:col>15</xdr:col>
      <xdr:colOff>190500</xdr:colOff>
      <xdr:row>322</xdr:row>
      <xdr:rowOff>0</xdr:rowOff>
    </xdr:to>
    <xdr:pic>
      <xdr:nvPicPr>
        <xdr:cNvPr id="210" name="Picture 37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6347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321</xdr:row>
      <xdr:rowOff>0</xdr:rowOff>
    </xdr:from>
    <xdr:to>
      <xdr:col>15</xdr:col>
      <xdr:colOff>390525</xdr:colOff>
      <xdr:row>322</xdr:row>
      <xdr:rowOff>0</xdr:rowOff>
    </xdr:to>
    <xdr:pic>
      <xdr:nvPicPr>
        <xdr:cNvPr id="211" name="Picture 377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36347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322</xdr:row>
      <xdr:rowOff>0</xdr:rowOff>
    </xdr:from>
    <xdr:to>
      <xdr:col>15</xdr:col>
      <xdr:colOff>190500</xdr:colOff>
      <xdr:row>323</xdr:row>
      <xdr:rowOff>0</xdr:rowOff>
    </xdr:to>
    <xdr:pic>
      <xdr:nvPicPr>
        <xdr:cNvPr id="212" name="Picture 37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6537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323</xdr:row>
      <xdr:rowOff>0</xdr:rowOff>
    </xdr:from>
    <xdr:to>
      <xdr:col>15</xdr:col>
      <xdr:colOff>190500</xdr:colOff>
      <xdr:row>324</xdr:row>
      <xdr:rowOff>0</xdr:rowOff>
    </xdr:to>
    <xdr:pic>
      <xdr:nvPicPr>
        <xdr:cNvPr id="213" name="Picture 381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6728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323</xdr:row>
      <xdr:rowOff>0</xdr:rowOff>
    </xdr:from>
    <xdr:to>
      <xdr:col>15</xdr:col>
      <xdr:colOff>390525</xdr:colOff>
      <xdr:row>324</xdr:row>
      <xdr:rowOff>0</xdr:rowOff>
    </xdr:to>
    <xdr:pic>
      <xdr:nvPicPr>
        <xdr:cNvPr id="214" name="Picture 382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36728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324</xdr:row>
      <xdr:rowOff>0</xdr:rowOff>
    </xdr:from>
    <xdr:to>
      <xdr:col>15</xdr:col>
      <xdr:colOff>190500</xdr:colOff>
      <xdr:row>325</xdr:row>
      <xdr:rowOff>0</xdr:rowOff>
    </xdr:to>
    <xdr:pic>
      <xdr:nvPicPr>
        <xdr:cNvPr id="215" name="Picture 38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6918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324</xdr:row>
      <xdr:rowOff>0</xdr:rowOff>
    </xdr:from>
    <xdr:to>
      <xdr:col>15</xdr:col>
      <xdr:colOff>390525</xdr:colOff>
      <xdr:row>325</xdr:row>
      <xdr:rowOff>0</xdr:rowOff>
    </xdr:to>
    <xdr:pic>
      <xdr:nvPicPr>
        <xdr:cNvPr id="216" name="Picture 38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36918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325</xdr:row>
      <xdr:rowOff>0</xdr:rowOff>
    </xdr:from>
    <xdr:to>
      <xdr:col>15</xdr:col>
      <xdr:colOff>190500</xdr:colOff>
      <xdr:row>326</xdr:row>
      <xdr:rowOff>0</xdr:rowOff>
    </xdr:to>
    <xdr:pic>
      <xdr:nvPicPr>
        <xdr:cNvPr id="217" name="Picture 387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7109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325</xdr:row>
      <xdr:rowOff>0</xdr:rowOff>
    </xdr:from>
    <xdr:to>
      <xdr:col>15</xdr:col>
      <xdr:colOff>390525</xdr:colOff>
      <xdr:row>326</xdr:row>
      <xdr:rowOff>0</xdr:rowOff>
    </xdr:to>
    <xdr:pic>
      <xdr:nvPicPr>
        <xdr:cNvPr id="218" name="Picture 38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37109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326</xdr:row>
      <xdr:rowOff>0</xdr:rowOff>
    </xdr:from>
    <xdr:to>
      <xdr:col>15</xdr:col>
      <xdr:colOff>190500</xdr:colOff>
      <xdr:row>327</xdr:row>
      <xdr:rowOff>0</xdr:rowOff>
    </xdr:to>
    <xdr:pic>
      <xdr:nvPicPr>
        <xdr:cNvPr id="219" name="Picture 390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7299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326</xdr:row>
      <xdr:rowOff>0</xdr:rowOff>
    </xdr:from>
    <xdr:to>
      <xdr:col>15</xdr:col>
      <xdr:colOff>390525</xdr:colOff>
      <xdr:row>327</xdr:row>
      <xdr:rowOff>0</xdr:rowOff>
    </xdr:to>
    <xdr:pic>
      <xdr:nvPicPr>
        <xdr:cNvPr id="220" name="Picture 391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37299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326</xdr:row>
      <xdr:rowOff>0</xdr:rowOff>
    </xdr:from>
    <xdr:to>
      <xdr:col>15</xdr:col>
      <xdr:colOff>581025</xdr:colOff>
      <xdr:row>327</xdr:row>
      <xdr:rowOff>0</xdr:rowOff>
    </xdr:to>
    <xdr:pic>
      <xdr:nvPicPr>
        <xdr:cNvPr id="221" name="Picture 39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191750" y="44043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327</xdr:row>
      <xdr:rowOff>0</xdr:rowOff>
    </xdr:from>
    <xdr:to>
      <xdr:col>15</xdr:col>
      <xdr:colOff>190500</xdr:colOff>
      <xdr:row>328</xdr:row>
      <xdr:rowOff>0</xdr:rowOff>
    </xdr:to>
    <xdr:pic>
      <xdr:nvPicPr>
        <xdr:cNvPr id="222" name="Picture 39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7490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327</xdr:row>
      <xdr:rowOff>0</xdr:rowOff>
    </xdr:from>
    <xdr:to>
      <xdr:col>15</xdr:col>
      <xdr:colOff>390525</xdr:colOff>
      <xdr:row>328</xdr:row>
      <xdr:rowOff>0</xdr:rowOff>
    </xdr:to>
    <xdr:pic>
      <xdr:nvPicPr>
        <xdr:cNvPr id="223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172575" y="37490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328</xdr:row>
      <xdr:rowOff>0</xdr:rowOff>
    </xdr:from>
    <xdr:to>
      <xdr:col>15</xdr:col>
      <xdr:colOff>190500</xdr:colOff>
      <xdr:row>329</xdr:row>
      <xdr:rowOff>0</xdr:rowOff>
    </xdr:to>
    <xdr:pic>
      <xdr:nvPicPr>
        <xdr:cNvPr id="224" name="Picture 397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7680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328</xdr:row>
      <xdr:rowOff>0</xdr:rowOff>
    </xdr:from>
    <xdr:to>
      <xdr:col>15</xdr:col>
      <xdr:colOff>390525</xdr:colOff>
      <xdr:row>329</xdr:row>
      <xdr:rowOff>0</xdr:rowOff>
    </xdr:to>
    <xdr:pic>
      <xdr:nvPicPr>
        <xdr:cNvPr id="225" name="Picture 398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37680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329</xdr:row>
      <xdr:rowOff>0</xdr:rowOff>
    </xdr:from>
    <xdr:to>
      <xdr:col>15</xdr:col>
      <xdr:colOff>190500</xdr:colOff>
      <xdr:row>330</xdr:row>
      <xdr:rowOff>0</xdr:rowOff>
    </xdr:to>
    <xdr:pic>
      <xdr:nvPicPr>
        <xdr:cNvPr id="226" name="Picture 400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7871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329</xdr:row>
      <xdr:rowOff>0</xdr:rowOff>
    </xdr:from>
    <xdr:to>
      <xdr:col>15</xdr:col>
      <xdr:colOff>390525</xdr:colOff>
      <xdr:row>330</xdr:row>
      <xdr:rowOff>0</xdr:rowOff>
    </xdr:to>
    <xdr:pic>
      <xdr:nvPicPr>
        <xdr:cNvPr id="227" name="Picture 40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37871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330</xdr:row>
      <xdr:rowOff>0</xdr:rowOff>
    </xdr:from>
    <xdr:to>
      <xdr:col>15</xdr:col>
      <xdr:colOff>190500</xdr:colOff>
      <xdr:row>330</xdr:row>
      <xdr:rowOff>190500</xdr:rowOff>
    </xdr:to>
    <xdr:pic>
      <xdr:nvPicPr>
        <xdr:cNvPr id="228" name="Picture 40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8061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330</xdr:row>
      <xdr:rowOff>0</xdr:rowOff>
    </xdr:from>
    <xdr:to>
      <xdr:col>15</xdr:col>
      <xdr:colOff>390525</xdr:colOff>
      <xdr:row>330</xdr:row>
      <xdr:rowOff>190500</xdr:rowOff>
    </xdr:to>
    <xdr:pic>
      <xdr:nvPicPr>
        <xdr:cNvPr id="229" name="Picture 404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38061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330</xdr:row>
      <xdr:rowOff>0</xdr:rowOff>
    </xdr:from>
    <xdr:to>
      <xdr:col>15</xdr:col>
      <xdr:colOff>590550</xdr:colOff>
      <xdr:row>330</xdr:row>
      <xdr:rowOff>190500</xdr:rowOff>
    </xdr:to>
    <xdr:pic>
      <xdr:nvPicPr>
        <xdr:cNvPr id="230" name="Picture 405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38061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330</xdr:row>
      <xdr:rowOff>0</xdr:rowOff>
    </xdr:from>
    <xdr:to>
      <xdr:col>15</xdr:col>
      <xdr:colOff>762000</xdr:colOff>
      <xdr:row>330</xdr:row>
      <xdr:rowOff>190500</xdr:rowOff>
    </xdr:to>
    <xdr:pic>
      <xdr:nvPicPr>
        <xdr:cNvPr id="231" name="Picture 40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572625" y="3806190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227</xdr:row>
      <xdr:rowOff>0</xdr:rowOff>
    </xdr:from>
    <xdr:to>
      <xdr:col>15</xdr:col>
      <xdr:colOff>190500</xdr:colOff>
      <xdr:row>228</xdr:row>
      <xdr:rowOff>0</xdr:rowOff>
    </xdr:to>
    <xdr:pic>
      <xdr:nvPicPr>
        <xdr:cNvPr id="232" name="Picture 408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8452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229</xdr:row>
      <xdr:rowOff>0</xdr:rowOff>
    </xdr:from>
    <xdr:to>
      <xdr:col>15</xdr:col>
      <xdr:colOff>190500</xdr:colOff>
      <xdr:row>230</xdr:row>
      <xdr:rowOff>0</xdr:rowOff>
    </xdr:to>
    <xdr:pic>
      <xdr:nvPicPr>
        <xdr:cNvPr id="233" name="Picture 411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8833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229</xdr:row>
      <xdr:rowOff>0</xdr:rowOff>
    </xdr:from>
    <xdr:to>
      <xdr:col>15</xdr:col>
      <xdr:colOff>390525</xdr:colOff>
      <xdr:row>230</xdr:row>
      <xdr:rowOff>0</xdr:rowOff>
    </xdr:to>
    <xdr:pic>
      <xdr:nvPicPr>
        <xdr:cNvPr id="234" name="Picture 412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38833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190500</xdr:colOff>
      <xdr:row>231</xdr:row>
      <xdr:rowOff>0</xdr:rowOff>
    </xdr:to>
    <xdr:pic>
      <xdr:nvPicPr>
        <xdr:cNvPr id="235" name="Picture 414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9023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231</xdr:row>
      <xdr:rowOff>0</xdr:rowOff>
    </xdr:from>
    <xdr:to>
      <xdr:col>15</xdr:col>
      <xdr:colOff>190500</xdr:colOff>
      <xdr:row>232</xdr:row>
      <xdr:rowOff>0</xdr:rowOff>
    </xdr:to>
    <xdr:pic>
      <xdr:nvPicPr>
        <xdr:cNvPr id="236" name="Picture 416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9214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231</xdr:row>
      <xdr:rowOff>0</xdr:rowOff>
    </xdr:from>
    <xdr:to>
      <xdr:col>15</xdr:col>
      <xdr:colOff>390525</xdr:colOff>
      <xdr:row>232</xdr:row>
      <xdr:rowOff>0</xdr:rowOff>
    </xdr:to>
    <xdr:pic>
      <xdr:nvPicPr>
        <xdr:cNvPr id="237" name="Picture 41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39214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232</xdr:row>
      <xdr:rowOff>0</xdr:rowOff>
    </xdr:from>
    <xdr:to>
      <xdr:col>15</xdr:col>
      <xdr:colOff>190500</xdr:colOff>
      <xdr:row>233</xdr:row>
      <xdr:rowOff>0</xdr:rowOff>
    </xdr:to>
    <xdr:pic>
      <xdr:nvPicPr>
        <xdr:cNvPr id="238" name="Picture 419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9404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232</xdr:row>
      <xdr:rowOff>0</xdr:rowOff>
    </xdr:from>
    <xdr:to>
      <xdr:col>15</xdr:col>
      <xdr:colOff>390525</xdr:colOff>
      <xdr:row>233</xdr:row>
      <xdr:rowOff>0</xdr:rowOff>
    </xdr:to>
    <xdr:pic>
      <xdr:nvPicPr>
        <xdr:cNvPr id="239" name="Picture 420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39404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233</xdr:row>
      <xdr:rowOff>0</xdr:rowOff>
    </xdr:from>
    <xdr:to>
      <xdr:col>15</xdr:col>
      <xdr:colOff>190500</xdr:colOff>
      <xdr:row>234</xdr:row>
      <xdr:rowOff>0</xdr:rowOff>
    </xdr:to>
    <xdr:pic>
      <xdr:nvPicPr>
        <xdr:cNvPr id="240" name="Picture 422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39595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234</xdr:row>
      <xdr:rowOff>0</xdr:rowOff>
    </xdr:from>
    <xdr:to>
      <xdr:col>15</xdr:col>
      <xdr:colOff>190500</xdr:colOff>
      <xdr:row>235</xdr:row>
      <xdr:rowOff>0</xdr:rowOff>
    </xdr:to>
    <xdr:pic>
      <xdr:nvPicPr>
        <xdr:cNvPr id="241" name="Picture 424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9785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235</xdr:row>
      <xdr:rowOff>0</xdr:rowOff>
    </xdr:from>
    <xdr:to>
      <xdr:col>15</xdr:col>
      <xdr:colOff>190500</xdr:colOff>
      <xdr:row>236</xdr:row>
      <xdr:rowOff>0</xdr:rowOff>
    </xdr:to>
    <xdr:pic>
      <xdr:nvPicPr>
        <xdr:cNvPr id="242" name="Picture 426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9976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236</xdr:row>
      <xdr:rowOff>0</xdr:rowOff>
    </xdr:from>
    <xdr:to>
      <xdr:col>15</xdr:col>
      <xdr:colOff>190500</xdr:colOff>
      <xdr:row>237</xdr:row>
      <xdr:rowOff>0</xdr:rowOff>
    </xdr:to>
    <xdr:pic>
      <xdr:nvPicPr>
        <xdr:cNvPr id="243" name="Picture 428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40166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236</xdr:row>
      <xdr:rowOff>0</xdr:rowOff>
    </xdr:from>
    <xdr:to>
      <xdr:col>15</xdr:col>
      <xdr:colOff>390525</xdr:colOff>
      <xdr:row>237</xdr:row>
      <xdr:rowOff>0</xdr:rowOff>
    </xdr:to>
    <xdr:pic>
      <xdr:nvPicPr>
        <xdr:cNvPr id="244" name="Picture 42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40166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236</xdr:row>
      <xdr:rowOff>0</xdr:rowOff>
    </xdr:from>
    <xdr:to>
      <xdr:col>15</xdr:col>
      <xdr:colOff>590550</xdr:colOff>
      <xdr:row>237</xdr:row>
      <xdr:rowOff>0</xdr:rowOff>
    </xdr:to>
    <xdr:pic>
      <xdr:nvPicPr>
        <xdr:cNvPr id="245" name="Picture 430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40166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237</xdr:row>
      <xdr:rowOff>0</xdr:rowOff>
    </xdr:from>
    <xdr:to>
      <xdr:col>15</xdr:col>
      <xdr:colOff>190500</xdr:colOff>
      <xdr:row>238</xdr:row>
      <xdr:rowOff>0</xdr:rowOff>
    </xdr:to>
    <xdr:pic>
      <xdr:nvPicPr>
        <xdr:cNvPr id="247" name="Picture 433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40357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238</xdr:row>
      <xdr:rowOff>0</xdr:rowOff>
    </xdr:from>
    <xdr:to>
      <xdr:col>15</xdr:col>
      <xdr:colOff>190500</xdr:colOff>
      <xdr:row>238</xdr:row>
      <xdr:rowOff>190500</xdr:rowOff>
    </xdr:to>
    <xdr:pic>
      <xdr:nvPicPr>
        <xdr:cNvPr id="248" name="Picture 435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0547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238</xdr:row>
      <xdr:rowOff>0</xdr:rowOff>
    </xdr:from>
    <xdr:to>
      <xdr:col>15</xdr:col>
      <xdr:colOff>390525</xdr:colOff>
      <xdr:row>238</xdr:row>
      <xdr:rowOff>190500</xdr:rowOff>
    </xdr:to>
    <xdr:pic>
      <xdr:nvPicPr>
        <xdr:cNvPr id="249" name="Picture 436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72575" y="40547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238</xdr:row>
      <xdr:rowOff>0</xdr:rowOff>
    </xdr:from>
    <xdr:to>
      <xdr:col>15</xdr:col>
      <xdr:colOff>590550</xdr:colOff>
      <xdr:row>238</xdr:row>
      <xdr:rowOff>190500</xdr:rowOff>
    </xdr:to>
    <xdr:pic>
      <xdr:nvPicPr>
        <xdr:cNvPr id="250" name="Picture 43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40547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238</xdr:row>
      <xdr:rowOff>0</xdr:rowOff>
    </xdr:from>
    <xdr:to>
      <xdr:col>15</xdr:col>
      <xdr:colOff>762000</xdr:colOff>
      <xdr:row>238</xdr:row>
      <xdr:rowOff>190500</xdr:rowOff>
    </xdr:to>
    <xdr:pic>
      <xdr:nvPicPr>
        <xdr:cNvPr id="251" name="Picture 43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72625" y="40547925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250</xdr:row>
      <xdr:rowOff>0</xdr:rowOff>
    </xdr:from>
    <xdr:to>
      <xdr:col>15</xdr:col>
      <xdr:colOff>190500</xdr:colOff>
      <xdr:row>251</xdr:row>
      <xdr:rowOff>0</xdr:rowOff>
    </xdr:to>
    <xdr:pic>
      <xdr:nvPicPr>
        <xdr:cNvPr id="253" name="Picture 441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0938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251</xdr:row>
      <xdr:rowOff>0</xdr:rowOff>
    </xdr:from>
    <xdr:to>
      <xdr:col>15</xdr:col>
      <xdr:colOff>190500</xdr:colOff>
      <xdr:row>252</xdr:row>
      <xdr:rowOff>0</xdr:rowOff>
    </xdr:to>
    <xdr:pic>
      <xdr:nvPicPr>
        <xdr:cNvPr id="254" name="Picture 44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1128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251</xdr:row>
      <xdr:rowOff>0</xdr:rowOff>
    </xdr:from>
    <xdr:to>
      <xdr:col>15</xdr:col>
      <xdr:colOff>390525</xdr:colOff>
      <xdr:row>252</xdr:row>
      <xdr:rowOff>0</xdr:rowOff>
    </xdr:to>
    <xdr:pic>
      <xdr:nvPicPr>
        <xdr:cNvPr id="255" name="Picture 444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172575" y="41128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252</xdr:row>
      <xdr:rowOff>0</xdr:rowOff>
    </xdr:from>
    <xdr:to>
      <xdr:col>15</xdr:col>
      <xdr:colOff>190500</xdr:colOff>
      <xdr:row>253</xdr:row>
      <xdr:rowOff>0</xdr:rowOff>
    </xdr:to>
    <xdr:pic>
      <xdr:nvPicPr>
        <xdr:cNvPr id="256" name="Picture 44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1319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252</xdr:row>
      <xdr:rowOff>0</xdr:rowOff>
    </xdr:from>
    <xdr:to>
      <xdr:col>15</xdr:col>
      <xdr:colOff>390525</xdr:colOff>
      <xdr:row>253</xdr:row>
      <xdr:rowOff>0</xdr:rowOff>
    </xdr:to>
    <xdr:pic>
      <xdr:nvPicPr>
        <xdr:cNvPr id="257" name="Picture 447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1319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253</xdr:row>
      <xdr:rowOff>0</xdr:rowOff>
    </xdr:from>
    <xdr:to>
      <xdr:col>15</xdr:col>
      <xdr:colOff>190500</xdr:colOff>
      <xdr:row>254</xdr:row>
      <xdr:rowOff>0</xdr:rowOff>
    </xdr:to>
    <xdr:pic>
      <xdr:nvPicPr>
        <xdr:cNvPr id="258" name="Picture 44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41509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254</xdr:row>
      <xdr:rowOff>0</xdr:rowOff>
    </xdr:from>
    <xdr:to>
      <xdr:col>15</xdr:col>
      <xdr:colOff>190500</xdr:colOff>
      <xdr:row>255</xdr:row>
      <xdr:rowOff>0</xdr:rowOff>
    </xdr:to>
    <xdr:pic>
      <xdr:nvPicPr>
        <xdr:cNvPr id="259" name="Picture 451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41700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256</xdr:row>
      <xdr:rowOff>0</xdr:rowOff>
    </xdr:from>
    <xdr:to>
      <xdr:col>15</xdr:col>
      <xdr:colOff>190500</xdr:colOff>
      <xdr:row>257</xdr:row>
      <xdr:rowOff>0</xdr:rowOff>
    </xdr:to>
    <xdr:pic>
      <xdr:nvPicPr>
        <xdr:cNvPr id="260" name="Picture 454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42081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257</xdr:row>
      <xdr:rowOff>0</xdr:rowOff>
    </xdr:from>
    <xdr:to>
      <xdr:col>15</xdr:col>
      <xdr:colOff>190500</xdr:colOff>
      <xdr:row>258</xdr:row>
      <xdr:rowOff>0</xdr:rowOff>
    </xdr:to>
    <xdr:pic>
      <xdr:nvPicPr>
        <xdr:cNvPr id="261" name="Picture 45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2271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258</xdr:row>
      <xdr:rowOff>0</xdr:rowOff>
    </xdr:from>
    <xdr:to>
      <xdr:col>15</xdr:col>
      <xdr:colOff>190500</xdr:colOff>
      <xdr:row>259</xdr:row>
      <xdr:rowOff>0</xdr:rowOff>
    </xdr:to>
    <xdr:pic>
      <xdr:nvPicPr>
        <xdr:cNvPr id="262" name="Picture 458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2462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259</xdr:row>
      <xdr:rowOff>0</xdr:rowOff>
    </xdr:from>
    <xdr:to>
      <xdr:col>15</xdr:col>
      <xdr:colOff>190500</xdr:colOff>
      <xdr:row>260</xdr:row>
      <xdr:rowOff>0</xdr:rowOff>
    </xdr:to>
    <xdr:pic>
      <xdr:nvPicPr>
        <xdr:cNvPr id="263" name="Picture 460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2652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259</xdr:row>
      <xdr:rowOff>0</xdr:rowOff>
    </xdr:from>
    <xdr:to>
      <xdr:col>15</xdr:col>
      <xdr:colOff>390525</xdr:colOff>
      <xdr:row>260</xdr:row>
      <xdr:rowOff>0</xdr:rowOff>
    </xdr:to>
    <xdr:pic>
      <xdr:nvPicPr>
        <xdr:cNvPr id="264" name="Picture 461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42652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260</xdr:row>
      <xdr:rowOff>0</xdr:rowOff>
    </xdr:from>
    <xdr:to>
      <xdr:col>15</xdr:col>
      <xdr:colOff>190500</xdr:colOff>
      <xdr:row>261</xdr:row>
      <xdr:rowOff>0</xdr:rowOff>
    </xdr:to>
    <xdr:pic>
      <xdr:nvPicPr>
        <xdr:cNvPr id="265" name="Picture 46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2843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261</xdr:row>
      <xdr:rowOff>0</xdr:rowOff>
    </xdr:from>
    <xdr:to>
      <xdr:col>15</xdr:col>
      <xdr:colOff>190500</xdr:colOff>
      <xdr:row>262</xdr:row>
      <xdr:rowOff>0</xdr:rowOff>
    </xdr:to>
    <xdr:pic>
      <xdr:nvPicPr>
        <xdr:cNvPr id="266" name="Picture 465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43033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262</xdr:row>
      <xdr:rowOff>0</xdr:rowOff>
    </xdr:from>
    <xdr:to>
      <xdr:col>15</xdr:col>
      <xdr:colOff>190500</xdr:colOff>
      <xdr:row>262</xdr:row>
      <xdr:rowOff>190500</xdr:rowOff>
    </xdr:to>
    <xdr:pic>
      <xdr:nvPicPr>
        <xdr:cNvPr id="267" name="Picture 46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43224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262</xdr:row>
      <xdr:rowOff>0</xdr:rowOff>
    </xdr:from>
    <xdr:to>
      <xdr:col>15</xdr:col>
      <xdr:colOff>390525</xdr:colOff>
      <xdr:row>262</xdr:row>
      <xdr:rowOff>190500</xdr:rowOff>
    </xdr:to>
    <xdr:pic>
      <xdr:nvPicPr>
        <xdr:cNvPr id="268" name="Picture 46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3224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262</xdr:row>
      <xdr:rowOff>0</xdr:rowOff>
    </xdr:from>
    <xdr:to>
      <xdr:col>15</xdr:col>
      <xdr:colOff>590550</xdr:colOff>
      <xdr:row>262</xdr:row>
      <xdr:rowOff>190500</xdr:rowOff>
    </xdr:to>
    <xdr:pic>
      <xdr:nvPicPr>
        <xdr:cNvPr id="269" name="Picture 46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43224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243</xdr:row>
      <xdr:rowOff>0</xdr:rowOff>
    </xdr:from>
    <xdr:to>
      <xdr:col>15</xdr:col>
      <xdr:colOff>190500</xdr:colOff>
      <xdr:row>244</xdr:row>
      <xdr:rowOff>0</xdr:rowOff>
    </xdr:to>
    <xdr:pic>
      <xdr:nvPicPr>
        <xdr:cNvPr id="270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3614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243</xdr:row>
      <xdr:rowOff>0</xdr:rowOff>
    </xdr:from>
    <xdr:to>
      <xdr:col>15</xdr:col>
      <xdr:colOff>390525</xdr:colOff>
      <xdr:row>244</xdr:row>
      <xdr:rowOff>0</xdr:rowOff>
    </xdr:to>
    <xdr:pic>
      <xdr:nvPicPr>
        <xdr:cNvPr id="271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172575" y="43614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244</xdr:row>
      <xdr:rowOff>0</xdr:rowOff>
    </xdr:from>
    <xdr:to>
      <xdr:col>15</xdr:col>
      <xdr:colOff>190500</xdr:colOff>
      <xdr:row>245</xdr:row>
      <xdr:rowOff>0</xdr:rowOff>
    </xdr:to>
    <xdr:pic>
      <xdr:nvPicPr>
        <xdr:cNvPr id="272" name="Picture 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43805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245</xdr:row>
      <xdr:rowOff>0</xdr:rowOff>
    </xdr:from>
    <xdr:to>
      <xdr:col>15</xdr:col>
      <xdr:colOff>190500</xdr:colOff>
      <xdr:row>246</xdr:row>
      <xdr:rowOff>0</xdr:rowOff>
    </xdr:to>
    <xdr:pic>
      <xdr:nvPicPr>
        <xdr:cNvPr id="273" name="Picture 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3995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245</xdr:row>
      <xdr:rowOff>0</xdr:rowOff>
    </xdr:from>
    <xdr:to>
      <xdr:col>15</xdr:col>
      <xdr:colOff>390525</xdr:colOff>
      <xdr:row>246</xdr:row>
      <xdr:rowOff>0</xdr:rowOff>
    </xdr:to>
    <xdr:pic>
      <xdr:nvPicPr>
        <xdr:cNvPr id="274" name="Picture 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3995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245</xdr:row>
      <xdr:rowOff>0</xdr:rowOff>
    </xdr:from>
    <xdr:to>
      <xdr:col>15</xdr:col>
      <xdr:colOff>590550</xdr:colOff>
      <xdr:row>246</xdr:row>
      <xdr:rowOff>0</xdr:rowOff>
    </xdr:to>
    <xdr:pic>
      <xdr:nvPicPr>
        <xdr:cNvPr id="275" name="Picture 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43995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246</xdr:row>
      <xdr:rowOff>0</xdr:rowOff>
    </xdr:from>
    <xdr:to>
      <xdr:col>15</xdr:col>
      <xdr:colOff>190500</xdr:colOff>
      <xdr:row>247</xdr:row>
      <xdr:rowOff>0</xdr:rowOff>
    </xdr:to>
    <xdr:pic>
      <xdr:nvPicPr>
        <xdr:cNvPr id="276" name="Picture 11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44186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246</xdr:row>
      <xdr:rowOff>0</xdr:rowOff>
    </xdr:from>
    <xdr:to>
      <xdr:col>15</xdr:col>
      <xdr:colOff>390525</xdr:colOff>
      <xdr:row>247</xdr:row>
      <xdr:rowOff>0</xdr:rowOff>
    </xdr:to>
    <xdr:pic>
      <xdr:nvPicPr>
        <xdr:cNvPr id="277" name="Picture 1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44186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247</xdr:row>
      <xdr:rowOff>0</xdr:rowOff>
    </xdr:from>
    <xdr:to>
      <xdr:col>15</xdr:col>
      <xdr:colOff>190500</xdr:colOff>
      <xdr:row>248</xdr:row>
      <xdr:rowOff>0</xdr:rowOff>
    </xdr:to>
    <xdr:pic>
      <xdr:nvPicPr>
        <xdr:cNvPr id="278" name="Picture 14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4376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247</xdr:row>
      <xdr:rowOff>0</xdr:rowOff>
    </xdr:from>
    <xdr:to>
      <xdr:col>15</xdr:col>
      <xdr:colOff>390525</xdr:colOff>
      <xdr:row>248</xdr:row>
      <xdr:rowOff>0</xdr:rowOff>
    </xdr:to>
    <xdr:pic>
      <xdr:nvPicPr>
        <xdr:cNvPr id="279" name="Picture 15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44376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248</xdr:row>
      <xdr:rowOff>0</xdr:rowOff>
    </xdr:from>
    <xdr:to>
      <xdr:col>15</xdr:col>
      <xdr:colOff>190500</xdr:colOff>
      <xdr:row>248</xdr:row>
      <xdr:rowOff>190500</xdr:rowOff>
    </xdr:to>
    <xdr:pic>
      <xdr:nvPicPr>
        <xdr:cNvPr id="280" name="Picture 17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4567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248</xdr:row>
      <xdr:rowOff>0</xdr:rowOff>
    </xdr:from>
    <xdr:to>
      <xdr:col>15</xdr:col>
      <xdr:colOff>390525</xdr:colOff>
      <xdr:row>248</xdr:row>
      <xdr:rowOff>190500</xdr:rowOff>
    </xdr:to>
    <xdr:pic>
      <xdr:nvPicPr>
        <xdr:cNvPr id="281" name="Picture 18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44567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248</xdr:row>
      <xdr:rowOff>0</xdr:rowOff>
    </xdr:from>
    <xdr:to>
      <xdr:col>15</xdr:col>
      <xdr:colOff>590550</xdr:colOff>
      <xdr:row>248</xdr:row>
      <xdr:rowOff>190500</xdr:rowOff>
    </xdr:to>
    <xdr:pic>
      <xdr:nvPicPr>
        <xdr:cNvPr id="282" name="Picture 19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44567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819150</xdr:colOff>
      <xdr:row>248</xdr:row>
      <xdr:rowOff>0</xdr:rowOff>
    </xdr:from>
    <xdr:to>
      <xdr:col>15</xdr:col>
      <xdr:colOff>819150</xdr:colOff>
      <xdr:row>248</xdr:row>
      <xdr:rowOff>190500</xdr:rowOff>
    </xdr:to>
    <xdr:pic>
      <xdr:nvPicPr>
        <xdr:cNvPr id="283" name="Picture 21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791700" y="44567475"/>
          <a:ext cx="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248</xdr:row>
      <xdr:rowOff>9525</xdr:rowOff>
    </xdr:from>
    <xdr:to>
      <xdr:col>15</xdr:col>
      <xdr:colOff>762000</xdr:colOff>
      <xdr:row>248</xdr:row>
      <xdr:rowOff>190500</xdr:rowOff>
    </xdr:to>
    <xdr:pic>
      <xdr:nvPicPr>
        <xdr:cNvPr id="284" name="Picture 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572625" y="44577000"/>
          <a:ext cx="1619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270</xdr:row>
      <xdr:rowOff>0</xdr:rowOff>
    </xdr:from>
    <xdr:to>
      <xdr:col>15</xdr:col>
      <xdr:colOff>190500</xdr:colOff>
      <xdr:row>271</xdr:row>
      <xdr:rowOff>0</xdr:rowOff>
    </xdr:to>
    <xdr:pic>
      <xdr:nvPicPr>
        <xdr:cNvPr id="285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972550" y="45148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270</xdr:row>
      <xdr:rowOff>0</xdr:rowOff>
    </xdr:from>
    <xdr:to>
      <xdr:col>15</xdr:col>
      <xdr:colOff>390525</xdr:colOff>
      <xdr:row>271</xdr:row>
      <xdr:rowOff>0</xdr:rowOff>
    </xdr:to>
    <xdr:pic>
      <xdr:nvPicPr>
        <xdr:cNvPr id="286" name="Picture 2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172575" y="45148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271</xdr:row>
      <xdr:rowOff>0</xdr:rowOff>
    </xdr:from>
    <xdr:to>
      <xdr:col>15</xdr:col>
      <xdr:colOff>190500</xdr:colOff>
      <xdr:row>272</xdr:row>
      <xdr:rowOff>0</xdr:rowOff>
    </xdr:to>
    <xdr:pic>
      <xdr:nvPicPr>
        <xdr:cNvPr id="287" name="Picture 2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5339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271</xdr:row>
      <xdr:rowOff>0</xdr:rowOff>
    </xdr:from>
    <xdr:to>
      <xdr:col>15</xdr:col>
      <xdr:colOff>390525</xdr:colOff>
      <xdr:row>272</xdr:row>
      <xdr:rowOff>0</xdr:rowOff>
    </xdr:to>
    <xdr:pic>
      <xdr:nvPicPr>
        <xdr:cNvPr id="288" name="Picture 28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5339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272</xdr:row>
      <xdr:rowOff>0</xdr:rowOff>
    </xdr:from>
    <xdr:to>
      <xdr:col>15</xdr:col>
      <xdr:colOff>190500</xdr:colOff>
      <xdr:row>273</xdr:row>
      <xdr:rowOff>0</xdr:rowOff>
    </xdr:to>
    <xdr:pic>
      <xdr:nvPicPr>
        <xdr:cNvPr id="289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45529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272</xdr:row>
      <xdr:rowOff>0</xdr:rowOff>
    </xdr:from>
    <xdr:to>
      <xdr:col>15</xdr:col>
      <xdr:colOff>390525</xdr:colOff>
      <xdr:row>273</xdr:row>
      <xdr:rowOff>0</xdr:rowOff>
    </xdr:to>
    <xdr:pic>
      <xdr:nvPicPr>
        <xdr:cNvPr id="290" name="Picture 31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5529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273</xdr:row>
      <xdr:rowOff>0</xdr:rowOff>
    </xdr:from>
    <xdr:to>
      <xdr:col>15</xdr:col>
      <xdr:colOff>190500</xdr:colOff>
      <xdr:row>274</xdr:row>
      <xdr:rowOff>0</xdr:rowOff>
    </xdr:to>
    <xdr:pic>
      <xdr:nvPicPr>
        <xdr:cNvPr id="291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5720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273</xdr:row>
      <xdr:rowOff>0</xdr:rowOff>
    </xdr:from>
    <xdr:to>
      <xdr:col>15</xdr:col>
      <xdr:colOff>390525</xdr:colOff>
      <xdr:row>274</xdr:row>
      <xdr:rowOff>0</xdr:rowOff>
    </xdr:to>
    <xdr:pic>
      <xdr:nvPicPr>
        <xdr:cNvPr id="292" name="Picture 3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5720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274</xdr:row>
      <xdr:rowOff>0</xdr:rowOff>
    </xdr:from>
    <xdr:to>
      <xdr:col>15</xdr:col>
      <xdr:colOff>190500</xdr:colOff>
      <xdr:row>275</xdr:row>
      <xdr:rowOff>0</xdr:rowOff>
    </xdr:to>
    <xdr:pic>
      <xdr:nvPicPr>
        <xdr:cNvPr id="293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45910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274</xdr:row>
      <xdr:rowOff>0</xdr:rowOff>
    </xdr:from>
    <xdr:to>
      <xdr:col>15</xdr:col>
      <xdr:colOff>390525</xdr:colOff>
      <xdr:row>275</xdr:row>
      <xdr:rowOff>0</xdr:rowOff>
    </xdr:to>
    <xdr:pic>
      <xdr:nvPicPr>
        <xdr:cNvPr id="294" name="Picture 37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5910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275</xdr:row>
      <xdr:rowOff>0</xdr:rowOff>
    </xdr:from>
    <xdr:to>
      <xdr:col>15</xdr:col>
      <xdr:colOff>190500</xdr:colOff>
      <xdr:row>276</xdr:row>
      <xdr:rowOff>0</xdr:rowOff>
    </xdr:to>
    <xdr:pic>
      <xdr:nvPicPr>
        <xdr:cNvPr id="295" name="Picture 3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6101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275</xdr:row>
      <xdr:rowOff>0</xdr:rowOff>
    </xdr:from>
    <xdr:to>
      <xdr:col>15</xdr:col>
      <xdr:colOff>390525</xdr:colOff>
      <xdr:row>276</xdr:row>
      <xdr:rowOff>0</xdr:rowOff>
    </xdr:to>
    <xdr:pic>
      <xdr:nvPicPr>
        <xdr:cNvPr id="296" name="Picture 4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6101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275</xdr:row>
      <xdr:rowOff>0</xdr:rowOff>
    </xdr:from>
    <xdr:to>
      <xdr:col>15</xdr:col>
      <xdr:colOff>590550</xdr:colOff>
      <xdr:row>276</xdr:row>
      <xdr:rowOff>0</xdr:rowOff>
    </xdr:to>
    <xdr:pic>
      <xdr:nvPicPr>
        <xdr:cNvPr id="297" name="Picture 41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372600" y="46101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276</xdr:row>
      <xdr:rowOff>0</xdr:rowOff>
    </xdr:from>
    <xdr:to>
      <xdr:col>15</xdr:col>
      <xdr:colOff>190500</xdr:colOff>
      <xdr:row>277</xdr:row>
      <xdr:rowOff>0</xdr:rowOff>
    </xdr:to>
    <xdr:pic>
      <xdr:nvPicPr>
        <xdr:cNvPr id="298" name="Picture 43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6291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277</xdr:row>
      <xdr:rowOff>0</xdr:rowOff>
    </xdr:from>
    <xdr:to>
      <xdr:col>15</xdr:col>
      <xdr:colOff>190500</xdr:colOff>
      <xdr:row>278</xdr:row>
      <xdr:rowOff>0</xdr:rowOff>
    </xdr:to>
    <xdr:pic>
      <xdr:nvPicPr>
        <xdr:cNvPr id="300" name="Picture 4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46482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278</xdr:row>
      <xdr:rowOff>0</xdr:rowOff>
    </xdr:from>
    <xdr:to>
      <xdr:col>15</xdr:col>
      <xdr:colOff>190500</xdr:colOff>
      <xdr:row>279</xdr:row>
      <xdr:rowOff>0</xdr:rowOff>
    </xdr:to>
    <xdr:pic>
      <xdr:nvPicPr>
        <xdr:cNvPr id="301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6672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278</xdr:row>
      <xdr:rowOff>0</xdr:rowOff>
    </xdr:from>
    <xdr:to>
      <xdr:col>15</xdr:col>
      <xdr:colOff>390525</xdr:colOff>
      <xdr:row>279</xdr:row>
      <xdr:rowOff>0</xdr:rowOff>
    </xdr:to>
    <xdr:pic>
      <xdr:nvPicPr>
        <xdr:cNvPr id="302" name="Picture 4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46672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280</xdr:row>
      <xdr:rowOff>0</xdr:rowOff>
    </xdr:from>
    <xdr:to>
      <xdr:col>15</xdr:col>
      <xdr:colOff>190500</xdr:colOff>
      <xdr:row>281</xdr:row>
      <xdr:rowOff>0</xdr:rowOff>
    </xdr:to>
    <xdr:pic>
      <xdr:nvPicPr>
        <xdr:cNvPr id="303" name="Picture 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7053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280</xdr:row>
      <xdr:rowOff>0</xdr:rowOff>
    </xdr:from>
    <xdr:to>
      <xdr:col>15</xdr:col>
      <xdr:colOff>390525</xdr:colOff>
      <xdr:row>281</xdr:row>
      <xdr:rowOff>0</xdr:rowOff>
    </xdr:to>
    <xdr:pic>
      <xdr:nvPicPr>
        <xdr:cNvPr id="304" name="Picture 5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7053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280</xdr:row>
      <xdr:rowOff>0</xdr:rowOff>
    </xdr:from>
    <xdr:to>
      <xdr:col>15</xdr:col>
      <xdr:colOff>590550</xdr:colOff>
      <xdr:row>281</xdr:row>
      <xdr:rowOff>0</xdr:rowOff>
    </xdr:to>
    <xdr:pic>
      <xdr:nvPicPr>
        <xdr:cNvPr id="305" name="Picture 54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47053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281</xdr:row>
      <xdr:rowOff>0</xdr:rowOff>
    </xdr:from>
    <xdr:to>
      <xdr:col>15</xdr:col>
      <xdr:colOff>190500</xdr:colOff>
      <xdr:row>281</xdr:row>
      <xdr:rowOff>190500</xdr:rowOff>
    </xdr:to>
    <xdr:pic>
      <xdr:nvPicPr>
        <xdr:cNvPr id="307" name="Picture 5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47244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281</xdr:row>
      <xdr:rowOff>0</xdr:rowOff>
    </xdr:from>
    <xdr:to>
      <xdr:col>15</xdr:col>
      <xdr:colOff>390525</xdr:colOff>
      <xdr:row>281</xdr:row>
      <xdr:rowOff>190500</xdr:rowOff>
    </xdr:to>
    <xdr:pic>
      <xdr:nvPicPr>
        <xdr:cNvPr id="308" name="Picture 5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7244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281</xdr:row>
      <xdr:rowOff>0</xdr:rowOff>
    </xdr:from>
    <xdr:to>
      <xdr:col>15</xdr:col>
      <xdr:colOff>590550</xdr:colOff>
      <xdr:row>281</xdr:row>
      <xdr:rowOff>190500</xdr:rowOff>
    </xdr:to>
    <xdr:pic>
      <xdr:nvPicPr>
        <xdr:cNvPr id="309" name="Picture 59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372600" y="47244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590550</xdr:colOff>
      <xdr:row>281</xdr:row>
      <xdr:rowOff>0</xdr:rowOff>
    </xdr:from>
    <xdr:to>
      <xdr:col>15</xdr:col>
      <xdr:colOff>752475</xdr:colOff>
      <xdr:row>281</xdr:row>
      <xdr:rowOff>190500</xdr:rowOff>
    </xdr:to>
    <xdr:pic>
      <xdr:nvPicPr>
        <xdr:cNvPr id="310" name="Picture 60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391775" y="559117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284</xdr:row>
      <xdr:rowOff>0</xdr:rowOff>
    </xdr:from>
    <xdr:to>
      <xdr:col>15</xdr:col>
      <xdr:colOff>190500</xdr:colOff>
      <xdr:row>285</xdr:row>
      <xdr:rowOff>0</xdr:rowOff>
    </xdr:to>
    <xdr:pic>
      <xdr:nvPicPr>
        <xdr:cNvPr id="311" name="Picture 6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7634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285</xdr:row>
      <xdr:rowOff>0</xdr:rowOff>
    </xdr:from>
    <xdr:to>
      <xdr:col>15</xdr:col>
      <xdr:colOff>190500</xdr:colOff>
      <xdr:row>286</xdr:row>
      <xdr:rowOff>0</xdr:rowOff>
    </xdr:to>
    <xdr:pic>
      <xdr:nvPicPr>
        <xdr:cNvPr id="312" name="Picture 64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47825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286</xdr:row>
      <xdr:rowOff>0</xdr:rowOff>
    </xdr:from>
    <xdr:to>
      <xdr:col>15</xdr:col>
      <xdr:colOff>190500</xdr:colOff>
      <xdr:row>287</xdr:row>
      <xdr:rowOff>0</xdr:rowOff>
    </xdr:to>
    <xdr:pic>
      <xdr:nvPicPr>
        <xdr:cNvPr id="313" name="Picture 66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8015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286</xdr:row>
      <xdr:rowOff>0</xdr:rowOff>
    </xdr:from>
    <xdr:to>
      <xdr:col>15</xdr:col>
      <xdr:colOff>390525</xdr:colOff>
      <xdr:row>287</xdr:row>
      <xdr:rowOff>0</xdr:rowOff>
    </xdr:to>
    <xdr:pic>
      <xdr:nvPicPr>
        <xdr:cNvPr id="314" name="Picture 67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48015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287</xdr:row>
      <xdr:rowOff>0</xdr:rowOff>
    </xdr:from>
    <xdr:to>
      <xdr:col>15</xdr:col>
      <xdr:colOff>190500</xdr:colOff>
      <xdr:row>288</xdr:row>
      <xdr:rowOff>0</xdr:rowOff>
    </xdr:to>
    <xdr:pic>
      <xdr:nvPicPr>
        <xdr:cNvPr id="315" name="Picture 69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8206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289</xdr:row>
      <xdr:rowOff>0</xdr:rowOff>
    </xdr:from>
    <xdr:to>
      <xdr:col>15</xdr:col>
      <xdr:colOff>190500</xdr:colOff>
      <xdr:row>290</xdr:row>
      <xdr:rowOff>0</xdr:rowOff>
    </xdr:to>
    <xdr:pic>
      <xdr:nvPicPr>
        <xdr:cNvPr id="316" name="Picture 7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8587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290</xdr:row>
      <xdr:rowOff>0</xdr:rowOff>
    </xdr:from>
    <xdr:to>
      <xdr:col>15</xdr:col>
      <xdr:colOff>190500</xdr:colOff>
      <xdr:row>291</xdr:row>
      <xdr:rowOff>0</xdr:rowOff>
    </xdr:to>
    <xdr:pic>
      <xdr:nvPicPr>
        <xdr:cNvPr id="317" name="Picture 74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48777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290</xdr:row>
      <xdr:rowOff>0</xdr:rowOff>
    </xdr:from>
    <xdr:to>
      <xdr:col>15</xdr:col>
      <xdr:colOff>390525</xdr:colOff>
      <xdr:row>291</xdr:row>
      <xdr:rowOff>0</xdr:rowOff>
    </xdr:to>
    <xdr:pic>
      <xdr:nvPicPr>
        <xdr:cNvPr id="318" name="Picture 7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48777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290</xdr:row>
      <xdr:rowOff>0</xdr:rowOff>
    </xdr:from>
    <xdr:to>
      <xdr:col>15</xdr:col>
      <xdr:colOff>590550</xdr:colOff>
      <xdr:row>291</xdr:row>
      <xdr:rowOff>0</xdr:rowOff>
    </xdr:to>
    <xdr:pic>
      <xdr:nvPicPr>
        <xdr:cNvPr id="319" name="Picture 76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372600" y="48777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291</xdr:row>
      <xdr:rowOff>0</xdr:rowOff>
    </xdr:from>
    <xdr:to>
      <xdr:col>15</xdr:col>
      <xdr:colOff>190500</xdr:colOff>
      <xdr:row>291</xdr:row>
      <xdr:rowOff>190500</xdr:rowOff>
    </xdr:to>
    <xdr:pic>
      <xdr:nvPicPr>
        <xdr:cNvPr id="321" name="Picture 7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48968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291</xdr:row>
      <xdr:rowOff>0</xdr:rowOff>
    </xdr:from>
    <xdr:to>
      <xdr:col>15</xdr:col>
      <xdr:colOff>390525</xdr:colOff>
      <xdr:row>291</xdr:row>
      <xdr:rowOff>190500</xdr:rowOff>
    </xdr:to>
    <xdr:pic>
      <xdr:nvPicPr>
        <xdr:cNvPr id="322" name="Picture 8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8968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291</xdr:row>
      <xdr:rowOff>0</xdr:rowOff>
    </xdr:from>
    <xdr:to>
      <xdr:col>15</xdr:col>
      <xdr:colOff>590550</xdr:colOff>
      <xdr:row>291</xdr:row>
      <xdr:rowOff>190500</xdr:rowOff>
    </xdr:to>
    <xdr:pic>
      <xdr:nvPicPr>
        <xdr:cNvPr id="323" name="Picture 81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372600" y="48968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291</xdr:row>
      <xdr:rowOff>0</xdr:rowOff>
    </xdr:from>
    <xdr:to>
      <xdr:col>15</xdr:col>
      <xdr:colOff>762000</xdr:colOff>
      <xdr:row>291</xdr:row>
      <xdr:rowOff>190500</xdr:rowOff>
    </xdr:to>
    <xdr:pic>
      <xdr:nvPicPr>
        <xdr:cNvPr id="324" name="Picture 82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572625" y="48968025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308</xdr:row>
      <xdr:rowOff>0</xdr:rowOff>
    </xdr:from>
    <xdr:to>
      <xdr:col>15</xdr:col>
      <xdr:colOff>190500</xdr:colOff>
      <xdr:row>309</xdr:row>
      <xdr:rowOff>0</xdr:rowOff>
    </xdr:to>
    <xdr:pic>
      <xdr:nvPicPr>
        <xdr:cNvPr id="325" name="Picture 84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9558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308</xdr:row>
      <xdr:rowOff>0</xdr:rowOff>
    </xdr:from>
    <xdr:to>
      <xdr:col>15</xdr:col>
      <xdr:colOff>390525</xdr:colOff>
      <xdr:row>309</xdr:row>
      <xdr:rowOff>0</xdr:rowOff>
    </xdr:to>
    <xdr:pic>
      <xdr:nvPicPr>
        <xdr:cNvPr id="326" name="Picture 85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9558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309</xdr:row>
      <xdr:rowOff>0</xdr:rowOff>
    </xdr:from>
    <xdr:to>
      <xdr:col>15</xdr:col>
      <xdr:colOff>190500</xdr:colOff>
      <xdr:row>310</xdr:row>
      <xdr:rowOff>0</xdr:rowOff>
    </xdr:to>
    <xdr:pic>
      <xdr:nvPicPr>
        <xdr:cNvPr id="327" name="Picture 8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9749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309</xdr:row>
      <xdr:rowOff>0</xdr:rowOff>
    </xdr:from>
    <xdr:to>
      <xdr:col>15</xdr:col>
      <xdr:colOff>390525</xdr:colOff>
      <xdr:row>310</xdr:row>
      <xdr:rowOff>0</xdr:rowOff>
    </xdr:to>
    <xdr:pic>
      <xdr:nvPicPr>
        <xdr:cNvPr id="328" name="Picture 88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9749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309</xdr:row>
      <xdr:rowOff>0</xdr:rowOff>
    </xdr:from>
    <xdr:to>
      <xdr:col>15</xdr:col>
      <xdr:colOff>590550</xdr:colOff>
      <xdr:row>310</xdr:row>
      <xdr:rowOff>0</xdr:rowOff>
    </xdr:to>
    <xdr:pic>
      <xdr:nvPicPr>
        <xdr:cNvPr id="329" name="Picture 8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49749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310</xdr:row>
      <xdr:rowOff>0</xdr:rowOff>
    </xdr:from>
    <xdr:to>
      <xdr:col>15</xdr:col>
      <xdr:colOff>190500</xdr:colOff>
      <xdr:row>311</xdr:row>
      <xdr:rowOff>0</xdr:rowOff>
    </xdr:to>
    <xdr:pic>
      <xdr:nvPicPr>
        <xdr:cNvPr id="330" name="Picture 91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9939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310</xdr:row>
      <xdr:rowOff>0</xdr:rowOff>
    </xdr:from>
    <xdr:to>
      <xdr:col>15</xdr:col>
      <xdr:colOff>390525</xdr:colOff>
      <xdr:row>311</xdr:row>
      <xdr:rowOff>0</xdr:rowOff>
    </xdr:to>
    <xdr:pic>
      <xdr:nvPicPr>
        <xdr:cNvPr id="331" name="Picture 92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49939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311</xdr:row>
      <xdr:rowOff>0</xdr:rowOff>
    </xdr:from>
    <xdr:to>
      <xdr:col>15</xdr:col>
      <xdr:colOff>190500</xdr:colOff>
      <xdr:row>311</xdr:row>
      <xdr:rowOff>190500</xdr:rowOff>
    </xdr:to>
    <xdr:pic>
      <xdr:nvPicPr>
        <xdr:cNvPr id="332" name="Picture 94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50130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311</xdr:row>
      <xdr:rowOff>0</xdr:rowOff>
    </xdr:from>
    <xdr:to>
      <xdr:col>15</xdr:col>
      <xdr:colOff>390525</xdr:colOff>
      <xdr:row>311</xdr:row>
      <xdr:rowOff>190500</xdr:rowOff>
    </xdr:to>
    <xdr:pic>
      <xdr:nvPicPr>
        <xdr:cNvPr id="333" name="Picture 95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50130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240</xdr:row>
      <xdr:rowOff>0</xdr:rowOff>
    </xdr:from>
    <xdr:to>
      <xdr:col>15</xdr:col>
      <xdr:colOff>190500</xdr:colOff>
      <xdr:row>241</xdr:row>
      <xdr:rowOff>0</xdr:rowOff>
    </xdr:to>
    <xdr:pic>
      <xdr:nvPicPr>
        <xdr:cNvPr id="334" name="Picture 97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972550" y="50520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241</xdr:row>
      <xdr:rowOff>0</xdr:rowOff>
    </xdr:from>
    <xdr:to>
      <xdr:col>15</xdr:col>
      <xdr:colOff>190500</xdr:colOff>
      <xdr:row>241</xdr:row>
      <xdr:rowOff>190500</xdr:rowOff>
    </xdr:to>
    <xdr:pic>
      <xdr:nvPicPr>
        <xdr:cNvPr id="335" name="Picture 9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50711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241</xdr:row>
      <xdr:rowOff>0</xdr:rowOff>
    </xdr:from>
    <xdr:to>
      <xdr:col>15</xdr:col>
      <xdr:colOff>390525</xdr:colOff>
      <xdr:row>241</xdr:row>
      <xdr:rowOff>190500</xdr:rowOff>
    </xdr:to>
    <xdr:pic>
      <xdr:nvPicPr>
        <xdr:cNvPr id="336" name="Picture 10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50711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342</xdr:row>
      <xdr:rowOff>0</xdr:rowOff>
    </xdr:from>
    <xdr:to>
      <xdr:col>15</xdr:col>
      <xdr:colOff>190500</xdr:colOff>
      <xdr:row>343</xdr:row>
      <xdr:rowOff>0</xdr:rowOff>
    </xdr:to>
    <xdr:pic>
      <xdr:nvPicPr>
        <xdr:cNvPr id="337" name="Picture 1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51101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342</xdr:row>
      <xdr:rowOff>9525</xdr:rowOff>
    </xdr:from>
    <xdr:to>
      <xdr:col>15</xdr:col>
      <xdr:colOff>381000</xdr:colOff>
      <xdr:row>343</xdr:row>
      <xdr:rowOff>9525</xdr:rowOff>
    </xdr:to>
    <xdr:pic>
      <xdr:nvPicPr>
        <xdr:cNvPr id="338" name="Picture 10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991725" y="63627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343</xdr:row>
      <xdr:rowOff>0</xdr:rowOff>
    </xdr:from>
    <xdr:to>
      <xdr:col>15</xdr:col>
      <xdr:colOff>190500</xdr:colOff>
      <xdr:row>344</xdr:row>
      <xdr:rowOff>0</xdr:rowOff>
    </xdr:to>
    <xdr:pic>
      <xdr:nvPicPr>
        <xdr:cNvPr id="339" name="Picture 10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512921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344</xdr:row>
      <xdr:rowOff>0</xdr:rowOff>
    </xdr:from>
    <xdr:to>
      <xdr:col>15</xdr:col>
      <xdr:colOff>190500</xdr:colOff>
      <xdr:row>345</xdr:row>
      <xdr:rowOff>0</xdr:rowOff>
    </xdr:to>
    <xdr:pic>
      <xdr:nvPicPr>
        <xdr:cNvPr id="341" name="Picture 10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51482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344</xdr:row>
      <xdr:rowOff>0</xdr:rowOff>
    </xdr:from>
    <xdr:to>
      <xdr:col>15</xdr:col>
      <xdr:colOff>381000</xdr:colOff>
      <xdr:row>345</xdr:row>
      <xdr:rowOff>0</xdr:rowOff>
    </xdr:to>
    <xdr:pic>
      <xdr:nvPicPr>
        <xdr:cNvPr id="342" name="Picture 10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91725" y="63998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345</xdr:row>
      <xdr:rowOff>0</xdr:rowOff>
    </xdr:from>
    <xdr:to>
      <xdr:col>15</xdr:col>
      <xdr:colOff>190500</xdr:colOff>
      <xdr:row>345</xdr:row>
      <xdr:rowOff>190500</xdr:rowOff>
    </xdr:to>
    <xdr:pic>
      <xdr:nvPicPr>
        <xdr:cNvPr id="343" name="Picture 11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516731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345</xdr:row>
      <xdr:rowOff>0</xdr:rowOff>
    </xdr:from>
    <xdr:to>
      <xdr:col>15</xdr:col>
      <xdr:colOff>381000</xdr:colOff>
      <xdr:row>345</xdr:row>
      <xdr:rowOff>190500</xdr:rowOff>
    </xdr:to>
    <xdr:pic>
      <xdr:nvPicPr>
        <xdr:cNvPr id="344" name="Picture 112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91725" y="64188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332</xdr:row>
      <xdr:rowOff>0</xdr:rowOff>
    </xdr:from>
    <xdr:to>
      <xdr:col>15</xdr:col>
      <xdr:colOff>190500</xdr:colOff>
      <xdr:row>333</xdr:row>
      <xdr:rowOff>0</xdr:rowOff>
    </xdr:to>
    <xdr:pic>
      <xdr:nvPicPr>
        <xdr:cNvPr id="345" name="Picture 11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2063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333</xdr:row>
      <xdr:rowOff>0</xdr:rowOff>
    </xdr:from>
    <xdr:to>
      <xdr:col>15</xdr:col>
      <xdr:colOff>190500</xdr:colOff>
      <xdr:row>334</xdr:row>
      <xdr:rowOff>0</xdr:rowOff>
    </xdr:to>
    <xdr:pic>
      <xdr:nvPicPr>
        <xdr:cNvPr id="346" name="Picture 11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2254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333</xdr:row>
      <xdr:rowOff>0</xdr:rowOff>
    </xdr:from>
    <xdr:to>
      <xdr:col>15</xdr:col>
      <xdr:colOff>390525</xdr:colOff>
      <xdr:row>334</xdr:row>
      <xdr:rowOff>0</xdr:rowOff>
    </xdr:to>
    <xdr:pic>
      <xdr:nvPicPr>
        <xdr:cNvPr id="347" name="Picture 117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52254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333</xdr:row>
      <xdr:rowOff>0</xdr:rowOff>
    </xdr:from>
    <xdr:to>
      <xdr:col>15</xdr:col>
      <xdr:colOff>590550</xdr:colOff>
      <xdr:row>334</xdr:row>
      <xdr:rowOff>0</xdr:rowOff>
    </xdr:to>
    <xdr:pic>
      <xdr:nvPicPr>
        <xdr:cNvPr id="348" name="Picture 118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372600" y="52254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334</xdr:row>
      <xdr:rowOff>0</xdr:rowOff>
    </xdr:from>
    <xdr:to>
      <xdr:col>15</xdr:col>
      <xdr:colOff>190500</xdr:colOff>
      <xdr:row>335</xdr:row>
      <xdr:rowOff>0</xdr:rowOff>
    </xdr:to>
    <xdr:pic>
      <xdr:nvPicPr>
        <xdr:cNvPr id="349" name="Picture 120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2444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335</xdr:row>
      <xdr:rowOff>0</xdr:rowOff>
    </xdr:from>
    <xdr:to>
      <xdr:col>15</xdr:col>
      <xdr:colOff>190500</xdr:colOff>
      <xdr:row>336</xdr:row>
      <xdr:rowOff>0</xdr:rowOff>
    </xdr:to>
    <xdr:pic>
      <xdr:nvPicPr>
        <xdr:cNvPr id="350" name="Picture 122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2635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337</xdr:row>
      <xdr:rowOff>0</xdr:rowOff>
    </xdr:from>
    <xdr:to>
      <xdr:col>15</xdr:col>
      <xdr:colOff>190500</xdr:colOff>
      <xdr:row>338</xdr:row>
      <xdr:rowOff>0</xdr:rowOff>
    </xdr:to>
    <xdr:pic>
      <xdr:nvPicPr>
        <xdr:cNvPr id="351" name="Picture 125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53016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337</xdr:row>
      <xdr:rowOff>0</xdr:rowOff>
    </xdr:from>
    <xdr:to>
      <xdr:col>15</xdr:col>
      <xdr:colOff>390525</xdr:colOff>
      <xdr:row>338</xdr:row>
      <xdr:rowOff>0</xdr:rowOff>
    </xdr:to>
    <xdr:pic>
      <xdr:nvPicPr>
        <xdr:cNvPr id="352" name="Picture 126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53016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337</xdr:row>
      <xdr:rowOff>0</xdr:rowOff>
    </xdr:from>
    <xdr:to>
      <xdr:col>15</xdr:col>
      <xdr:colOff>590550</xdr:colOff>
      <xdr:row>338</xdr:row>
      <xdr:rowOff>0</xdr:rowOff>
    </xdr:to>
    <xdr:pic>
      <xdr:nvPicPr>
        <xdr:cNvPr id="353" name="Picture 127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53016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338</xdr:row>
      <xdr:rowOff>0</xdr:rowOff>
    </xdr:from>
    <xdr:to>
      <xdr:col>15</xdr:col>
      <xdr:colOff>190500</xdr:colOff>
      <xdr:row>339</xdr:row>
      <xdr:rowOff>0</xdr:rowOff>
    </xdr:to>
    <xdr:pic>
      <xdr:nvPicPr>
        <xdr:cNvPr id="354" name="Picture 12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3206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338</xdr:row>
      <xdr:rowOff>0</xdr:rowOff>
    </xdr:from>
    <xdr:to>
      <xdr:col>15</xdr:col>
      <xdr:colOff>390525</xdr:colOff>
      <xdr:row>339</xdr:row>
      <xdr:rowOff>0</xdr:rowOff>
    </xdr:to>
    <xdr:pic>
      <xdr:nvPicPr>
        <xdr:cNvPr id="355" name="Picture 13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53206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339</xdr:row>
      <xdr:rowOff>0</xdr:rowOff>
    </xdr:from>
    <xdr:to>
      <xdr:col>15</xdr:col>
      <xdr:colOff>190500</xdr:colOff>
      <xdr:row>339</xdr:row>
      <xdr:rowOff>190500</xdr:rowOff>
    </xdr:to>
    <xdr:pic>
      <xdr:nvPicPr>
        <xdr:cNvPr id="356" name="Picture 132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53397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339</xdr:row>
      <xdr:rowOff>0</xdr:rowOff>
    </xdr:from>
    <xdr:to>
      <xdr:col>15</xdr:col>
      <xdr:colOff>390525</xdr:colOff>
      <xdr:row>339</xdr:row>
      <xdr:rowOff>190500</xdr:rowOff>
    </xdr:to>
    <xdr:pic>
      <xdr:nvPicPr>
        <xdr:cNvPr id="357" name="Picture 13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53397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339</xdr:row>
      <xdr:rowOff>0</xdr:rowOff>
    </xdr:from>
    <xdr:to>
      <xdr:col>15</xdr:col>
      <xdr:colOff>590550</xdr:colOff>
      <xdr:row>339</xdr:row>
      <xdr:rowOff>190500</xdr:rowOff>
    </xdr:to>
    <xdr:pic>
      <xdr:nvPicPr>
        <xdr:cNvPr id="358" name="Picture 134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53397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339</xdr:row>
      <xdr:rowOff>0</xdr:rowOff>
    </xdr:from>
    <xdr:to>
      <xdr:col>15</xdr:col>
      <xdr:colOff>762000</xdr:colOff>
      <xdr:row>339</xdr:row>
      <xdr:rowOff>190500</xdr:rowOff>
    </xdr:to>
    <xdr:pic>
      <xdr:nvPicPr>
        <xdr:cNvPr id="359" name="Picture 135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572625" y="533971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349</xdr:row>
      <xdr:rowOff>0</xdr:rowOff>
    </xdr:from>
    <xdr:to>
      <xdr:col>15</xdr:col>
      <xdr:colOff>190500</xdr:colOff>
      <xdr:row>350</xdr:row>
      <xdr:rowOff>0</xdr:rowOff>
    </xdr:to>
    <xdr:pic>
      <xdr:nvPicPr>
        <xdr:cNvPr id="360" name="Picture 13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4168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349</xdr:row>
      <xdr:rowOff>0</xdr:rowOff>
    </xdr:from>
    <xdr:to>
      <xdr:col>15</xdr:col>
      <xdr:colOff>390525</xdr:colOff>
      <xdr:row>350</xdr:row>
      <xdr:rowOff>0</xdr:rowOff>
    </xdr:to>
    <xdr:pic>
      <xdr:nvPicPr>
        <xdr:cNvPr id="361" name="Picture 14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54168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349</xdr:row>
      <xdr:rowOff>0</xdr:rowOff>
    </xdr:from>
    <xdr:to>
      <xdr:col>15</xdr:col>
      <xdr:colOff>590550</xdr:colOff>
      <xdr:row>350</xdr:row>
      <xdr:rowOff>0</xdr:rowOff>
    </xdr:to>
    <xdr:pic>
      <xdr:nvPicPr>
        <xdr:cNvPr id="362" name="Picture 141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54168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350</xdr:row>
      <xdr:rowOff>0</xdr:rowOff>
    </xdr:from>
    <xdr:to>
      <xdr:col>15</xdr:col>
      <xdr:colOff>190500</xdr:colOff>
      <xdr:row>351</xdr:row>
      <xdr:rowOff>0</xdr:rowOff>
    </xdr:to>
    <xdr:pic>
      <xdr:nvPicPr>
        <xdr:cNvPr id="363" name="Picture 143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972550" y="54359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352</xdr:row>
      <xdr:rowOff>0</xdr:rowOff>
    </xdr:from>
    <xdr:to>
      <xdr:col>15</xdr:col>
      <xdr:colOff>190500</xdr:colOff>
      <xdr:row>353</xdr:row>
      <xdr:rowOff>0</xdr:rowOff>
    </xdr:to>
    <xdr:pic>
      <xdr:nvPicPr>
        <xdr:cNvPr id="364" name="Picture 146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54740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352</xdr:row>
      <xdr:rowOff>0</xdr:rowOff>
    </xdr:from>
    <xdr:to>
      <xdr:col>15</xdr:col>
      <xdr:colOff>390525</xdr:colOff>
      <xdr:row>353</xdr:row>
      <xdr:rowOff>0</xdr:rowOff>
    </xdr:to>
    <xdr:pic>
      <xdr:nvPicPr>
        <xdr:cNvPr id="365" name="Picture 147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54740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354</xdr:row>
      <xdr:rowOff>0</xdr:rowOff>
    </xdr:from>
    <xdr:to>
      <xdr:col>15</xdr:col>
      <xdr:colOff>190500</xdr:colOff>
      <xdr:row>354</xdr:row>
      <xdr:rowOff>190500</xdr:rowOff>
    </xdr:to>
    <xdr:pic>
      <xdr:nvPicPr>
        <xdr:cNvPr id="366" name="Picture 150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55121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354</xdr:row>
      <xdr:rowOff>0</xdr:rowOff>
    </xdr:from>
    <xdr:to>
      <xdr:col>15</xdr:col>
      <xdr:colOff>390525</xdr:colOff>
      <xdr:row>354</xdr:row>
      <xdr:rowOff>190500</xdr:rowOff>
    </xdr:to>
    <xdr:pic>
      <xdr:nvPicPr>
        <xdr:cNvPr id="367" name="Picture 151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55121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354</xdr:row>
      <xdr:rowOff>0</xdr:rowOff>
    </xdr:from>
    <xdr:to>
      <xdr:col>15</xdr:col>
      <xdr:colOff>590550</xdr:colOff>
      <xdr:row>354</xdr:row>
      <xdr:rowOff>190500</xdr:rowOff>
    </xdr:to>
    <xdr:pic>
      <xdr:nvPicPr>
        <xdr:cNvPr id="368" name="Picture 152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372600" y="55121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354</xdr:row>
      <xdr:rowOff>0</xdr:rowOff>
    </xdr:from>
    <xdr:to>
      <xdr:col>15</xdr:col>
      <xdr:colOff>762000</xdr:colOff>
      <xdr:row>354</xdr:row>
      <xdr:rowOff>190500</xdr:rowOff>
    </xdr:to>
    <xdr:pic>
      <xdr:nvPicPr>
        <xdr:cNvPr id="369" name="Picture 153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572625" y="55121175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800100</xdr:colOff>
      <xdr:row>354</xdr:row>
      <xdr:rowOff>0</xdr:rowOff>
    </xdr:from>
    <xdr:to>
      <xdr:col>15</xdr:col>
      <xdr:colOff>800100</xdr:colOff>
      <xdr:row>354</xdr:row>
      <xdr:rowOff>190500</xdr:rowOff>
    </xdr:to>
    <xdr:pic>
      <xdr:nvPicPr>
        <xdr:cNvPr id="370" name="Picture 154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772650" y="55121175"/>
          <a:ext cx="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89</xdr:row>
      <xdr:rowOff>9525</xdr:rowOff>
    </xdr:from>
    <xdr:to>
      <xdr:col>15</xdr:col>
      <xdr:colOff>200025</xdr:colOff>
      <xdr:row>90</xdr:row>
      <xdr:rowOff>0</xdr:rowOff>
    </xdr:to>
    <xdr:pic>
      <xdr:nvPicPr>
        <xdr:cNvPr id="371" name="Picture 17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82075" y="18573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146</xdr:row>
      <xdr:rowOff>9525</xdr:rowOff>
    </xdr:from>
    <xdr:to>
      <xdr:col>15</xdr:col>
      <xdr:colOff>190500</xdr:colOff>
      <xdr:row>147</xdr:row>
      <xdr:rowOff>9525</xdr:rowOff>
    </xdr:to>
    <xdr:pic>
      <xdr:nvPicPr>
        <xdr:cNvPr id="372" name="Picture 23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3926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174</xdr:row>
      <xdr:rowOff>9525</xdr:rowOff>
    </xdr:from>
    <xdr:to>
      <xdr:col>15</xdr:col>
      <xdr:colOff>190500</xdr:colOff>
      <xdr:row>175</xdr:row>
      <xdr:rowOff>9525</xdr:rowOff>
    </xdr:to>
    <xdr:pic>
      <xdr:nvPicPr>
        <xdr:cNvPr id="373" name="Picture 312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292798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341</xdr:row>
      <xdr:rowOff>0</xdr:rowOff>
    </xdr:from>
    <xdr:to>
      <xdr:col>15</xdr:col>
      <xdr:colOff>190500</xdr:colOff>
      <xdr:row>342</xdr:row>
      <xdr:rowOff>0</xdr:rowOff>
    </xdr:to>
    <xdr:pic>
      <xdr:nvPicPr>
        <xdr:cNvPr id="374" name="Picture 10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509111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307</xdr:row>
      <xdr:rowOff>0</xdr:rowOff>
    </xdr:from>
    <xdr:to>
      <xdr:col>15</xdr:col>
      <xdr:colOff>190500</xdr:colOff>
      <xdr:row>308</xdr:row>
      <xdr:rowOff>0</xdr:rowOff>
    </xdr:to>
    <xdr:pic>
      <xdr:nvPicPr>
        <xdr:cNvPr id="376" name="Picture 84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9368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307</xdr:row>
      <xdr:rowOff>0</xdr:rowOff>
    </xdr:from>
    <xdr:to>
      <xdr:col>15</xdr:col>
      <xdr:colOff>390525</xdr:colOff>
      <xdr:row>308</xdr:row>
      <xdr:rowOff>0</xdr:rowOff>
    </xdr:to>
    <xdr:pic>
      <xdr:nvPicPr>
        <xdr:cNvPr id="377" name="Picture 85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9368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239</xdr:row>
      <xdr:rowOff>0</xdr:rowOff>
    </xdr:from>
    <xdr:to>
      <xdr:col>15</xdr:col>
      <xdr:colOff>190500</xdr:colOff>
      <xdr:row>240</xdr:row>
      <xdr:rowOff>0</xdr:rowOff>
    </xdr:to>
    <xdr:pic>
      <xdr:nvPicPr>
        <xdr:cNvPr id="378" name="Picture 9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50330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283</xdr:row>
      <xdr:rowOff>0</xdr:rowOff>
    </xdr:from>
    <xdr:to>
      <xdr:col>15</xdr:col>
      <xdr:colOff>190500</xdr:colOff>
      <xdr:row>284</xdr:row>
      <xdr:rowOff>0</xdr:rowOff>
    </xdr:to>
    <xdr:pic>
      <xdr:nvPicPr>
        <xdr:cNvPr id="379" name="Picture 6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7444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242</xdr:row>
      <xdr:rowOff>0</xdr:rowOff>
    </xdr:from>
    <xdr:to>
      <xdr:col>15</xdr:col>
      <xdr:colOff>190500</xdr:colOff>
      <xdr:row>243</xdr:row>
      <xdr:rowOff>0</xdr:rowOff>
    </xdr:to>
    <xdr:pic>
      <xdr:nvPicPr>
        <xdr:cNvPr id="380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3424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249</xdr:row>
      <xdr:rowOff>0</xdr:rowOff>
    </xdr:from>
    <xdr:to>
      <xdr:col>15</xdr:col>
      <xdr:colOff>190500</xdr:colOff>
      <xdr:row>250</xdr:row>
      <xdr:rowOff>0</xdr:rowOff>
    </xdr:to>
    <xdr:pic>
      <xdr:nvPicPr>
        <xdr:cNvPr id="381" name="Picture 441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0747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226</xdr:row>
      <xdr:rowOff>0</xdr:rowOff>
    </xdr:from>
    <xdr:to>
      <xdr:col>15</xdr:col>
      <xdr:colOff>190500</xdr:colOff>
      <xdr:row>227</xdr:row>
      <xdr:rowOff>0</xdr:rowOff>
    </xdr:to>
    <xdr:pic>
      <xdr:nvPicPr>
        <xdr:cNvPr id="382" name="Picture 408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8261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317</xdr:row>
      <xdr:rowOff>0</xdr:rowOff>
    </xdr:from>
    <xdr:to>
      <xdr:col>15</xdr:col>
      <xdr:colOff>190500</xdr:colOff>
      <xdr:row>318</xdr:row>
      <xdr:rowOff>0</xdr:rowOff>
    </xdr:to>
    <xdr:pic>
      <xdr:nvPicPr>
        <xdr:cNvPr id="383" name="Picture 37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5585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190500</xdr:colOff>
      <xdr:row>282</xdr:row>
      <xdr:rowOff>190500</xdr:rowOff>
    </xdr:to>
    <xdr:pic>
      <xdr:nvPicPr>
        <xdr:cNvPr id="385" name="Picture 1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287000" y="49368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282</xdr:row>
      <xdr:rowOff>0</xdr:rowOff>
    </xdr:from>
    <xdr:to>
      <xdr:col>15</xdr:col>
      <xdr:colOff>381000</xdr:colOff>
      <xdr:row>282</xdr:row>
      <xdr:rowOff>190500</xdr:rowOff>
    </xdr:to>
    <xdr:pic>
      <xdr:nvPicPr>
        <xdr:cNvPr id="386" name="Picture 74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477500" y="49368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75</xdr:row>
      <xdr:rowOff>0</xdr:rowOff>
    </xdr:from>
    <xdr:to>
      <xdr:col>15</xdr:col>
      <xdr:colOff>190500</xdr:colOff>
      <xdr:row>75</xdr:row>
      <xdr:rowOff>190500</xdr:rowOff>
    </xdr:to>
    <xdr:pic>
      <xdr:nvPicPr>
        <xdr:cNvPr id="388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363325" y="16087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89</xdr:row>
      <xdr:rowOff>0</xdr:rowOff>
    </xdr:from>
    <xdr:to>
      <xdr:col>15</xdr:col>
      <xdr:colOff>390525</xdr:colOff>
      <xdr:row>89</xdr:row>
      <xdr:rowOff>190500</xdr:rowOff>
    </xdr:to>
    <xdr:pic>
      <xdr:nvPicPr>
        <xdr:cNvPr id="391" name="Picture 17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563350" y="18764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317</xdr:row>
      <xdr:rowOff>0</xdr:rowOff>
    </xdr:from>
    <xdr:to>
      <xdr:col>15</xdr:col>
      <xdr:colOff>390525</xdr:colOff>
      <xdr:row>318</xdr:row>
      <xdr:rowOff>0</xdr:rowOff>
    </xdr:to>
    <xdr:pic>
      <xdr:nvPicPr>
        <xdr:cNvPr id="396" name="Picture 37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563350" y="35785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70</xdr:row>
      <xdr:rowOff>9525</xdr:rowOff>
    </xdr:from>
    <xdr:to>
      <xdr:col>15</xdr:col>
      <xdr:colOff>200025</xdr:colOff>
      <xdr:row>71</xdr:row>
      <xdr:rowOff>0</xdr:rowOff>
    </xdr:to>
    <xdr:pic>
      <xdr:nvPicPr>
        <xdr:cNvPr id="393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42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71</xdr:row>
      <xdr:rowOff>9525</xdr:rowOff>
    </xdr:from>
    <xdr:to>
      <xdr:col>15</xdr:col>
      <xdr:colOff>200025</xdr:colOff>
      <xdr:row>72</xdr:row>
      <xdr:rowOff>0</xdr:rowOff>
    </xdr:to>
    <xdr:pic>
      <xdr:nvPicPr>
        <xdr:cNvPr id="394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611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72</xdr:row>
      <xdr:rowOff>9525</xdr:rowOff>
    </xdr:from>
    <xdr:to>
      <xdr:col>15</xdr:col>
      <xdr:colOff>200025</xdr:colOff>
      <xdr:row>73</xdr:row>
      <xdr:rowOff>0</xdr:rowOff>
    </xdr:to>
    <xdr:pic>
      <xdr:nvPicPr>
        <xdr:cNvPr id="395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801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73</xdr:row>
      <xdr:rowOff>0</xdr:rowOff>
    </xdr:from>
    <xdr:to>
      <xdr:col>15</xdr:col>
      <xdr:colOff>200025</xdr:colOff>
      <xdr:row>73</xdr:row>
      <xdr:rowOff>190500</xdr:rowOff>
    </xdr:to>
    <xdr:pic>
      <xdr:nvPicPr>
        <xdr:cNvPr id="397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9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74</xdr:row>
      <xdr:rowOff>0</xdr:rowOff>
    </xdr:from>
    <xdr:to>
      <xdr:col>15</xdr:col>
      <xdr:colOff>200025</xdr:colOff>
      <xdr:row>74</xdr:row>
      <xdr:rowOff>190500</xdr:rowOff>
    </xdr:to>
    <xdr:pic>
      <xdr:nvPicPr>
        <xdr:cNvPr id="398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41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71</xdr:row>
      <xdr:rowOff>9525</xdr:rowOff>
    </xdr:from>
    <xdr:to>
      <xdr:col>15</xdr:col>
      <xdr:colOff>390525</xdr:colOff>
      <xdr:row>72</xdr:row>
      <xdr:rowOff>0</xdr:rowOff>
    </xdr:to>
    <xdr:pic>
      <xdr:nvPicPr>
        <xdr:cNvPr id="400" name="Picture 9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63350" y="13611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73</xdr:row>
      <xdr:rowOff>0</xdr:rowOff>
    </xdr:from>
    <xdr:to>
      <xdr:col>15</xdr:col>
      <xdr:colOff>381000</xdr:colOff>
      <xdr:row>73</xdr:row>
      <xdr:rowOff>190500</xdr:rowOff>
    </xdr:to>
    <xdr:pic>
      <xdr:nvPicPr>
        <xdr:cNvPr id="401" name="Picture 9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53825" y="139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72</xdr:row>
      <xdr:rowOff>0</xdr:rowOff>
    </xdr:from>
    <xdr:to>
      <xdr:col>15</xdr:col>
      <xdr:colOff>390525</xdr:colOff>
      <xdr:row>72</xdr:row>
      <xdr:rowOff>190500</xdr:rowOff>
    </xdr:to>
    <xdr:pic>
      <xdr:nvPicPr>
        <xdr:cNvPr id="402" name="Picture 8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13792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74</xdr:row>
      <xdr:rowOff>0</xdr:rowOff>
    </xdr:from>
    <xdr:to>
      <xdr:col>15</xdr:col>
      <xdr:colOff>390525</xdr:colOff>
      <xdr:row>74</xdr:row>
      <xdr:rowOff>190500</xdr:rowOff>
    </xdr:to>
    <xdr:pic>
      <xdr:nvPicPr>
        <xdr:cNvPr id="403" name="Picture 8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141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117</xdr:row>
      <xdr:rowOff>9525</xdr:rowOff>
    </xdr:from>
    <xdr:to>
      <xdr:col>15</xdr:col>
      <xdr:colOff>200025</xdr:colOff>
      <xdr:row>118</xdr:row>
      <xdr:rowOff>9525</xdr:rowOff>
    </xdr:to>
    <xdr:pic>
      <xdr:nvPicPr>
        <xdr:cNvPr id="404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42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118</xdr:row>
      <xdr:rowOff>9525</xdr:rowOff>
    </xdr:from>
    <xdr:to>
      <xdr:col>15</xdr:col>
      <xdr:colOff>200025</xdr:colOff>
      <xdr:row>119</xdr:row>
      <xdr:rowOff>9525</xdr:rowOff>
    </xdr:to>
    <xdr:pic>
      <xdr:nvPicPr>
        <xdr:cNvPr id="405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611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119</xdr:row>
      <xdr:rowOff>9525</xdr:rowOff>
    </xdr:from>
    <xdr:to>
      <xdr:col>15</xdr:col>
      <xdr:colOff>200025</xdr:colOff>
      <xdr:row>120</xdr:row>
      <xdr:rowOff>9525</xdr:rowOff>
    </xdr:to>
    <xdr:pic>
      <xdr:nvPicPr>
        <xdr:cNvPr id="406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801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120</xdr:row>
      <xdr:rowOff>0</xdr:rowOff>
    </xdr:from>
    <xdr:to>
      <xdr:col>15</xdr:col>
      <xdr:colOff>200025</xdr:colOff>
      <xdr:row>121</xdr:row>
      <xdr:rowOff>0</xdr:rowOff>
    </xdr:to>
    <xdr:pic>
      <xdr:nvPicPr>
        <xdr:cNvPr id="407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9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121</xdr:row>
      <xdr:rowOff>0</xdr:rowOff>
    </xdr:from>
    <xdr:to>
      <xdr:col>15</xdr:col>
      <xdr:colOff>200025</xdr:colOff>
      <xdr:row>121</xdr:row>
      <xdr:rowOff>190500</xdr:rowOff>
    </xdr:to>
    <xdr:pic>
      <xdr:nvPicPr>
        <xdr:cNvPr id="408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41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117</xdr:row>
      <xdr:rowOff>9525</xdr:rowOff>
    </xdr:from>
    <xdr:to>
      <xdr:col>15</xdr:col>
      <xdr:colOff>390525</xdr:colOff>
      <xdr:row>118</xdr:row>
      <xdr:rowOff>9525</xdr:rowOff>
    </xdr:to>
    <xdr:pic>
      <xdr:nvPicPr>
        <xdr:cNvPr id="409" name="Picture 9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63350" y="1342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120</xdr:row>
      <xdr:rowOff>0</xdr:rowOff>
    </xdr:from>
    <xdr:to>
      <xdr:col>15</xdr:col>
      <xdr:colOff>381000</xdr:colOff>
      <xdr:row>121</xdr:row>
      <xdr:rowOff>0</xdr:rowOff>
    </xdr:to>
    <xdr:pic>
      <xdr:nvPicPr>
        <xdr:cNvPr id="411" name="Picture 9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53825" y="139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118</xdr:row>
      <xdr:rowOff>9525</xdr:rowOff>
    </xdr:from>
    <xdr:to>
      <xdr:col>15</xdr:col>
      <xdr:colOff>381000</xdr:colOff>
      <xdr:row>119</xdr:row>
      <xdr:rowOff>9525</xdr:rowOff>
    </xdr:to>
    <xdr:pic>
      <xdr:nvPicPr>
        <xdr:cNvPr id="412" name="Picture 8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53825" y="17249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121</xdr:row>
      <xdr:rowOff>0</xdr:rowOff>
    </xdr:from>
    <xdr:to>
      <xdr:col>15</xdr:col>
      <xdr:colOff>390525</xdr:colOff>
      <xdr:row>121</xdr:row>
      <xdr:rowOff>190500</xdr:rowOff>
    </xdr:to>
    <xdr:pic>
      <xdr:nvPicPr>
        <xdr:cNvPr id="413" name="Picture 8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141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119</xdr:row>
      <xdr:rowOff>0</xdr:rowOff>
    </xdr:from>
    <xdr:to>
      <xdr:col>15</xdr:col>
      <xdr:colOff>381000</xdr:colOff>
      <xdr:row>120</xdr:row>
      <xdr:rowOff>0</xdr:rowOff>
    </xdr:to>
    <xdr:pic>
      <xdr:nvPicPr>
        <xdr:cNvPr id="415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1553825" y="17430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117</xdr:row>
      <xdr:rowOff>0</xdr:rowOff>
    </xdr:from>
    <xdr:to>
      <xdr:col>15</xdr:col>
      <xdr:colOff>581025</xdr:colOff>
      <xdr:row>118</xdr:row>
      <xdr:rowOff>0</xdr:rowOff>
    </xdr:to>
    <xdr:pic>
      <xdr:nvPicPr>
        <xdr:cNvPr id="416" name="Grafik 415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53850" y="170497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118</xdr:row>
      <xdr:rowOff>9525</xdr:rowOff>
    </xdr:from>
    <xdr:to>
      <xdr:col>15</xdr:col>
      <xdr:colOff>571500</xdr:colOff>
      <xdr:row>119</xdr:row>
      <xdr:rowOff>9525</xdr:rowOff>
    </xdr:to>
    <xdr:pic>
      <xdr:nvPicPr>
        <xdr:cNvPr id="417" name="Grafik 416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44325" y="1724977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119</xdr:row>
      <xdr:rowOff>0</xdr:rowOff>
    </xdr:from>
    <xdr:to>
      <xdr:col>15</xdr:col>
      <xdr:colOff>571500</xdr:colOff>
      <xdr:row>120</xdr:row>
      <xdr:rowOff>0</xdr:rowOff>
    </xdr:to>
    <xdr:pic>
      <xdr:nvPicPr>
        <xdr:cNvPr id="418" name="Grafik 417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44325" y="174307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119</xdr:row>
      <xdr:rowOff>180975</xdr:rowOff>
    </xdr:from>
    <xdr:to>
      <xdr:col>15</xdr:col>
      <xdr:colOff>571500</xdr:colOff>
      <xdr:row>120</xdr:row>
      <xdr:rowOff>180975</xdr:rowOff>
    </xdr:to>
    <xdr:pic>
      <xdr:nvPicPr>
        <xdr:cNvPr id="419" name="Grafik 418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44325" y="176117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121</xdr:row>
      <xdr:rowOff>0</xdr:rowOff>
    </xdr:from>
    <xdr:to>
      <xdr:col>15</xdr:col>
      <xdr:colOff>581025</xdr:colOff>
      <xdr:row>121</xdr:row>
      <xdr:rowOff>190500</xdr:rowOff>
    </xdr:to>
    <xdr:pic>
      <xdr:nvPicPr>
        <xdr:cNvPr id="420" name="Grafik 419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53850" y="178117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122</xdr:row>
      <xdr:rowOff>0</xdr:rowOff>
    </xdr:from>
    <xdr:to>
      <xdr:col>15</xdr:col>
      <xdr:colOff>190500</xdr:colOff>
      <xdr:row>123</xdr:row>
      <xdr:rowOff>0</xdr:rowOff>
    </xdr:to>
    <xdr:pic>
      <xdr:nvPicPr>
        <xdr:cNvPr id="436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63325" y="20688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123</xdr:row>
      <xdr:rowOff>0</xdr:rowOff>
    </xdr:from>
    <xdr:to>
      <xdr:col>15</xdr:col>
      <xdr:colOff>200025</xdr:colOff>
      <xdr:row>124</xdr:row>
      <xdr:rowOff>0</xdr:rowOff>
    </xdr:to>
    <xdr:pic>
      <xdr:nvPicPr>
        <xdr:cNvPr id="437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0878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124</xdr:row>
      <xdr:rowOff>0</xdr:rowOff>
    </xdr:from>
    <xdr:to>
      <xdr:col>15</xdr:col>
      <xdr:colOff>200025</xdr:colOff>
      <xdr:row>125</xdr:row>
      <xdr:rowOff>0</xdr:rowOff>
    </xdr:to>
    <xdr:pic>
      <xdr:nvPicPr>
        <xdr:cNvPr id="438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1069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125</xdr:row>
      <xdr:rowOff>0</xdr:rowOff>
    </xdr:from>
    <xdr:to>
      <xdr:col>15</xdr:col>
      <xdr:colOff>200025</xdr:colOff>
      <xdr:row>126</xdr:row>
      <xdr:rowOff>0</xdr:rowOff>
    </xdr:to>
    <xdr:pic>
      <xdr:nvPicPr>
        <xdr:cNvPr id="439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1259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126</xdr:row>
      <xdr:rowOff>0</xdr:rowOff>
    </xdr:from>
    <xdr:to>
      <xdr:col>15</xdr:col>
      <xdr:colOff>200025</xdr:colOff>
      <xdr:row>126</xdr:row>
      <xdr:rowOff>190500</xdr:rowOff>
    </xdr:to>
    <xdr:pic>
      <xdr:nvPicPr>
        <xdr:cNvPr id="440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1450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122</xdr:row>
      <xdr:rowOff>0</xdr:rowOff>
    </xdr:from>
    <xdr:to>
      <xdr:col>15</xdr:col>
      <xdr:colOff>381000</xdr:colOff>
      <xdr:row>123</xdr:row>
      <xdr:rowOff>0</xdr:rowOff>
    </xdr:to>
    <xdr:pic>
      <xdr:nvPicPr>
        <xdr:cNvPr id="441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553825" y="20688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123</xdr:row>
      <xdr:rowOff>0</xdr:rowOff>
    </xdr:from>
    <xdr:to>
      <xdr:col>15</xdr:col>
      <xdr:colOff>390525</xdr:colOff>
      <xdr:row>124</xdr:row>
      <xdr:rowOff>0</xdr:rowOff>
    </xdr:to>
    <xdr:pic>
      <xdr:nvPicPr>
        <xdr:cNvPr id="442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563350" y="20878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124</xdr:row>
      <xdr:rowOff>0</xdr:rowOff>
    </xdr:from>
    <xdr:to>
      <xdr:col>15</xdr:col>
      <xdr:colOff>390525</xdr:colOff>
      <xdr:row>125</xdr:row>
      <xdr:rowOff>0</xdr:rowOff>
    </xdr:to>
    <xdr:pic>
      <xdr:nvPicPr>
        <xdr:cNvPr id="443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563350" y="21069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125</xdr:row>
      <xdr:rowOff>0</xdr:rowOff>
    </xdr:from>
    <xdr:to>
      <xdr:col>15</xdr:col>
      <xdr:colOff>390525</xdr:colOff>
      <xdr:row>126</xdr:row>
      <xdr:rowOff>0</xdr:rowOff>
    </xdr:to>
    <xdr:pic>
      <xdr:nvPicPr>
        <xdr:cNvPr id="444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563350" y="21259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126</xdr:row>
      <xdr:rowOff>0</xdr:rowOff>
    </xdr:from>
    <xdr:to>
      <xdr:col>15</xdr:col>
      <xdr:colOff>390525</xdr:colOff>
      <xdr:row>126</xdr:row>
      <xdr:rowOff>190500</xdr:rowOff>
    </xdr:to>
    <xdr:pic>
      <xdr:nvPicPr>
        <xdr:cNvPr id="445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563350" y="21450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122</xdr:row>
      <xdr:rowOff>0</xdr:rowOff>
    </xdr:from>
    <xdr:to>
      <xdr:col>15</xdr:col>
      <xdr:colOff>571500</xdr:colOff>
      <xdr:row>123</xdr:row>
      <xdr:rowOff>0</xdr:rowOff>
    </xdr:to>
    <xdr:pic>
      <xdr:nvPicPr>
        <xdr:cNvPr id="446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744325" y="20688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123</xdr:row>
      <xdr:rowOff>9525</xdr:rowOff>
    </xdr:from>
    <xdr:to>
      <xdr:col>15</xdr:col>
      <xdr:colOff>581025</xdr:colOff>
      <xdr:row>124</xdr:row>
      <xdr:rowOff>9525</xdr:rowOff>
    </xdr:to>
    <xdr:pic>
      <xdr:nvPicPr>
        <xdr:cNvPr id="447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753850" y="20888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124</xdr:row>
      <xdr:rowOff>9525</xdr:rowOff>
    </xdr:from>
    <xdr:to>
      <xdr:col>15</xdr:col>
      <xdr:colOff>581025</xdr:colOff>
      <xdr:row>125</xdr:row>
      <xdr:rowOff>9525</xdr:rowOff>
    </xdr:to>
    <xdr:pic>
      <xdr:nvPicPr>
        <xdr:cNvPr id="448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753850" y="21078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125</xdr:row>
      <xdr:rowOff>9525</xdr:rowOff>
    </xdr:from>
    <xdr:to>
      <xdr:col>15</xdr:col>
      <xdr:colOff>581025</xdr:colOff>
      <xdr:row>126</xdr:row>
      <xdr:rowOff>9525</xdr:rowOff>
    </xdr:to>
    <xdr:pic>
      <xdr:nvPicPr>
        <xdr:cNvPr id="449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753850" y="21269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126</xdr:row>
      <xdr:rowOff>9525</xdr:rowOff>
    </xdr:from>
    <xdr:to>
      <xdr:col>15</xdr:col>
      <xdr:colOff>581025</xdr:colOff>
      <xdr:row>127</xdr:row>
      <xdr:rowOff>0</xdr:rowOff>
    </xdr:to>
    <xdr:pic>
      <xdr:nvPicPr>
        <xdr:cNvPr id="450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753850" y="21459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141</xdr:row>
      <xdr:rowOff>9525</xdr:rowOff>
    </xdr:from>
    <xdr:to>
      <xdr:col>15</xdr:col>
      <xdr:colOff>190500</xdr:colOff>
      <xdr:row>142</xdr:row>
      <xdr:rowOff>9525</xdr:rowOff>
    </xdr:to>
    <xdr:pic>
      <xdr:nvPicPr>
        <xdr:cNvPr id="462" name="Picture 2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63325" y="27012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143</xdr:row>
      <xdr:rowOff>9525</xdr:rowOff>
    </xdr:from>
    <xdr:to>
      <xdr:col>15</xdr:col>
      <xdr:colOff>200025</xdr:colOff>
      <xdr:row>144</xdr:row>
      <xdr:rowOff>9525</xdr:rowOff>
    </xdr:to>
    <xdr:pic>
      <xdr:nvPicPr>
        <xdr:cNvPr id="463" name="Picture 2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27393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142</xdr:row>
      <xdr:rowOff>9525</xdr:rowOff>
    </xdr:from>
    <xdr:to>
      <xdr:col>15</xdr:col>
      <xdr:colOff>200025</xdr:colOff>
      <xdr:row>143</xdr:row>
      <xdr:rowOff>9525</xdr:rowOff>
    </xdr:to>
    <xdr:pic>
      <xdr:nvPicPr>
        <xdr:cNvPr id="464" name="Picture 226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72850" y="27203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144</xdr:row>
      <xdr:rowOff>0</xdr:rowOff>
    </xdr:from>
    <xdr:to>
      <xdr:col>15</xdr:col>
      <xdr:colOff>200025</xdr:colOff>
      <xdr:row>145</xdr:row>
      <xdr:rowOff>0</xdr:rowOff>
    </xdr:to>
    <xdr:pic>
      <xdr:nvPicPr>
        <xdr:cNvPr id="465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72850" y="275748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145</xdr:row>
      <xdr:rowOff>0</xdr:rowOff>
    </xdr:from>
    <xdr:to>
      <xdr:col>15</xdr:col>
      <xdr:colOff>200025</xdr:colOff>
      <xdr:row>145</xdr:row>
      <xdr:rowOff>190500</xdr:rowOff>
    </xdr:to>
    <xdr:pic>
      <xdr:nvPicPr>
        <xdr:cNvPr id="466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776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141</xdr:row>
      <xdr:rowOff>9525</xdr:rowOff>
    </xdr:from>
    <xdr:to>
      <xdr:col>15</xdr:col>
      <xdr:colOff>381000</xdr:colOff>
      <xdr:row>142</xdr:row>
      <xdr:rowOff>9525</xdr:rowOff>
    </xdr:to>
    <xdr:pic>
      <xdr:nvPicPr>
        <xdr:cNvPr id="467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27012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142</xdr:row>
      <xdr:rowOff>9525</xdr:rowOff>
    </xdr:from>
    <xdr:to>
      <xdr:col>15</xdr:col>
      <xdr:colOff>381000</xdr:colOff>
      <xdr:row>143</xdr:row>
      <xdr:rowOff>9525</xdr:rowOff>
    </xdr:to>
    <xdr:pic>
      <xdr:nvPicPr>
        <xdr:cNvPr id="468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27203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143</xdr:row>
      <xdr:rowOff>9525</xdr:rowOff>
    </xdr:from>
    <xdr:to>
      <xdr:col>15</xdr:col>
      <xdr:colOff>381000</xdr:colOff>
      <xdr:row>144</xdr:row>
      <xdr:rowOff>9525</xdr:rowOff>
    </xdr:to>
    <xdr:pic>
      <xdr:nvPicPr>
        <xdr:cNvPr id="469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27393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144</xdr:row>
      <xdr:rowOff>9525</xdr:rowOff>
    </xdr:from>
    <xdr:to>
      <xdr:col>15</xdr:col>
      <xdr:colOff>381000</xdr:colOff>
      <xdr:row>145</xdr:row>
      <xdr:rowOff>9525</xdr:rowOff>
    </xdr:to>
    <xdr:pic>
      <xdr:nvPicPr>
        <xdr:cNvPr id="470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27584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145</xdr:row>
      <xdr:rowOff>0</xdr:rowOff>
    </xdr:from>
    <xdr:to>
      <xdr:col>15</xdr:col>
      <xdr:colOff>381000</xdr:colOff>
      <xdr:row>145</xdr:row>
      <xdr:rowOff>190500</xdr:rowOff>
    </xdr:to>
    <xdr:pic>
      <xdr:nvPicPr>
        <xdr:cNvPr id="471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2776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371475</xdr:colOff>
      <xdr:row>145</xdr:row>
      <xdr:rowOff>0</xdr:rowOff>
    </xdr:from>
    <xdr:to>
      <xdr:col>15</xdr:col>
      <xdr:colOff>561975</xdr:colOff>
      <xdr:row>145</xdr:row>
      <xdr:rowOff>190500</xdr:rowOff>
    </xdr:to>
    <xdr:pic>
      <xdr:nvPicPr>
        <xdr:cNvPr id="472" name="Picture 21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734800" y="2776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146</xdr:row>
      <xdr:rowOff>9525</xdr:rowOff>
    </xdr:from>
    <xdr:to>
      <xdr:col>15</xdr:col>
      <xdr:colOff>381000</xdr:colOff>
      <xdr:row>147</xdr:row>
      <xdr:rowOff>9525</xdr:rowOff>
    </xdr:to>
    <xdr:pic>
      <xdr:nvPicPr>
        <xdr:cNvPr id="473" name="Grafik 472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53825" y="279749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160</xdr:row>
      <xdr:rowOff>9525</xdr:rowOff>
    </xdr:from>
    <xdr:to>
      <xdr:col>15</xdr:col>
      <xdr:colOff>200025</xdr:colOff>
      <xdr:row>161</xdr:row>
      <xdr:rowOff>9525</xdr:rowOff>
    </xdr:to>
    <xdr:pic>
      <xdr:nvPicPr>
        <xdr:cNvPr id="474" name="Picture 26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372850" y="30651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180975</xdr:colOff>
      <xdr:row>219</xdr:row>
      <xdr:rowOff>9525</xdr:rowOff>
    </xdr:from>
    <xdr:to>
      <xdr:col>15</xdr:col>
      <xdr:colOff>371475</xdr:colOff>
      <xdr:row>220</xdr:row>
      <xdr:rowOff>9525</xdr:rowOff>
    </xdr:to>
    <xdr:pic>
      <xdr:nvPicPr>
        <xdr:cNvPr id="475" name="Picture 2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2200" y="42319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219</xdr:row>
      <xdr:rowOff>9525</xdr:rowOff>
    </xdr:from>
    <xdr:to>
      <xdr:col>15</xdr:col>
      <xdr:colOff>190500</xdr:colOff>
      <xdr:row>220</xdr:row>
      <xdr:rowOff>9525</xdr:rowOff>
    </xdr:to>
    <xdr:pic>
      <xdr:nvPicPr>
        <xdr:cNvPr id="477" name="Picture 226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42319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220</xdr:row>
      <xdr:rowOff>9525</xdr:rowOff>
    </xdr:from>
    <xdr:to>
      <xdr:col>15</xdr:col>
      <xdr:colOff>381000</xdr:colOff>
      <xdr:row>221</xdr:row>
      <xdr:rowOff>9525</xdr:rowOff>
    </xdr:to>
    <xdr:pic>
      <xdr:nvPicPr>
        <xdr:cNvPr id="478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553825" y="33899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221</xdr:row>
      <xdr:rowOff>0</xdr:rowOff>
    </xdr:from>
    <xdr:to>
      <xdr:col>15</xdr:col>
      <xdr:colOff>200025</xdr:colOff>
      <xdr:row>221</xdr:row>
      <xdr:rowOff>190500</xdr:rowOff>
    </xdr:to>
    <xdr:pic>
      <xdr:nvPicPr>
        <xdr:cNvPr id="479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776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561975</xdr:colOff>
      <xdr:row>221</xdr:row>
      <xdr:rowOff>0</xdr:rowOff>
    </xdr:from>
    <xdr:to>
      <xdr:col>15</xdr:col>
      <xdr:colOff>752475</xdr:colOff>
      <xdr:row>221</xdr:row>
      <xdr:rowOff>190500</xdr:rowOff>
    </xdr:to>
    <xdr:pic>
      <xdr:nvPicPr>
        <xdr:cNvPr id="485" name="Picture 21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925300" y="34080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180975</xdr:colOff>
      <xdr:row>221</xdr:row>
      <xdr:rowOff>9525</xdr:rowOff>
    </xdr:from>
    <xdr:to>
      <xdr:col>15</xdr:col>
      <xdr:colOff>371475</xdr:colOff>
      <xdr:row>222</xdr:row>
      <xdr:rowOff>0</xdr:rowOff>
    </xdr:to>
    <xdr:pic>
      <xdr:nvPicPr>
        <xdr:cNvPr id="486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544300" y="34089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190500</xdr:colOff>
      <xdr:row>221</xdr:row>
      <xdr:rowOff>0</xdr:rowOff>
    </xdr:to>
    <xdr:pic>
      <xdr:nvPicPr>
        <xdr:cNvPr id="487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63325" y="33889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218</xdr:row>
      <xdr:rowOff>9525</xdr:rowOff>
    </xdr:from>
    <xdr:to>
      <xdr:col>15</xdr:col>
      <xdr:colOff>190500</xdr:colOff>
      <xdr:row>219</xdr:row>
      <xdr:rowOff>9525</xdr:rowOff>
    </xdr:to>
    <xdr:pic>
      <xdr:nvPicPr>
        <xdr:cNvPr id="488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01225" y="42129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217</xdr:row>
      <xdr:rowOff>9525</xdr:rowOff>
    </xdr:from>
    <xdr:to>
      <xdr:col>15</xdr:col>
      <xdr:colOff>190500</xdr:colOff>
      <xdr:row>218</xdr:row>
      <xdr:rowOff>9525</xdr:rowOff>
    </xdr:to>
    <xdr:pic>
      <xdr:nvPicPr>
        <xdr:cNvPr id="489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63325" y="33327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217</xdr:row>
      <xdr:rowOff>9525</xdr:rowOff>
    </xdr:from>
    <xdr:to>
      <xdr:col>15</xdr:col>
      <xdr:colOff>381000</xdr:colOff>
      <xdr:row>218</xdr:row>
      <xdr:rowOff>9525</xdr:rowOff>
    </xdr:to>
    <xdr:pic>
      <xdr:nvPicPr>
        <xdr:cNvPr id="490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553825" y="33327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218</xdr:row>
      <xdr:rowOff>9525</xdr:rowOff>
    </xdr:from>
    <xdr:to>
      <xdr:col>15</xdr:col>
      <xdr:colOff>381000</xdr:colOff>
      <xdr:row>219</xdr:row>
      <xdr:rowOff>9525</xdr:rowOff>
    </xdr:to>
    <xdr:pic>
      <xdr:nvPicPr>
        <xdr:cNvPr id="491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991725" y="42129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217</xdr:row>
      <xdr:rowOff>0</xdr:rowOff>
    </xdr:from>
    <xdr:to>
      <xdr:col>15</xdr:col>
      <xdr:colOff>571500</xdr:colOff>
      <xdr:row>218</xdr:row>
      <xdr:rowOff>0</xdr:rowOff>
    </xdr:to>
    <xdr:pic>
      <xdr:nvPicPr>
        <xdr:cNvPr id="492" name="Grafik 491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44325" y="333184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371475</xdr:colOff>
      <xdr:row>219</xdr:row>
      <xdr:rowOff>0</xdr:rowOff>
    </xdr:from>
    <xdr:to>
      <xdr:col>15</xdr:col>
      <xdr:colOff>561975</xdr:colOff>
      <xdr:row>220</xdr:row>
      <xdr:rowOff>0</xdr:rowOff>
    </xdr:to>
    <xdr:pic>
      <xdr:nvPicPr>
        <xdr:cNvPr id="493" name="Grafik 492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172700" y="423100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218</xdr:row>
      <xdr:rowOff>0</xdr:rowOff>
    </xdr:from>
    <xdr:to>
      <xdr:col>15</xdr:col>
      <xdr:colOff>571500</xdr:colOff>
      <xdr:row>219</xdr:row>
      <xdr:rowOff>0</xdr:rowOff>
    </xdr:to>
    <xdr:pic>
      <xdr:nvPicPr>
        <xdr:cNvPr id="494" name="Grafik 493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182225" y="421195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220</xdr:row>
      <xdr:rowOff>0</xdr:rowOff>
    </xdr:from>
    <xdr:to>
      <xdr:col>15</xdr:col>
      <xdr:colOff>571500</xdr:colOff>
      <xdr:row>221</xdr:row>
      <xdr:rowOff>0</xdr:rowOff>
    </xdr:to>
    <xdr:pic>
      <xdr:nvPicPr>
        <xdr:cNvPr id="495" name="Grafik 494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44325" y="338899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371475</xdr:colOff>
      <xdr:row>221</xdr:row>
      <xdr:rowOff>0</xdr:rowOff>
    </xdr:from>
    <xdr:to>
      <xdr:col>15</xdr:col>
      <xdr:colOff>561975</xdr:colOff>
      <xdr:row>221</xdr:row>
      <xdr:rowOff>190500</xdr:rowOff>
    </xdr:to>
    <xdr:pic>
      <xdr:nvPicPr>
        <xdr:cNvPr id="496" name="Grafik 495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34800" y="340804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188</xdr:row>
      <xdr:rowOff>9525</xdr:rowOff>
    </xdr:from>
    <xdr:to>
      <xdr:col>15</xdr:col>
      <xdr:colOff>200025</xdr:colOff>
      <xdr:row>189</xdr:row>
      <xdr:rowOff>9525</xdr:rowOff>
    </xdr:to>
    <xdr:pic>
      <xdr:nvPicPr>
        <xdr:cNvPr id="460" name="Picture 32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36966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188</xdr:row>
      <xdr:rowOff>0</xdr:rowOff>
    </xdr:from>
    <xdr:to>
      <xdr:col>15</xdr:col>
      <xdr:colOff>390525</xdr:colOff>
      <xdr:row>189</xdr:row>
      <xdr:rowOff>0</xdr:rowOff>
    </xdr:to>
    <xdr:pic>
      <xdr:nvPicPr>
        <xdr:cNvPr id="461" name="Grafik 460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63350" y="3695700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188</xdr:row>
      <xdr:rowOff>0</xdr:rowOff>
    </xdr:from>
    <xdr:to>
      <xdr:col>15</xdr:col>
      <xdr:colOff>581025</xdr:colOff>
      <xdr:row>189</xdr:row>
      <xdr:rowOff>0</xdr:rowOff>
    </xdr:to>
    <xdr:pic>
      <xdr:nvPicPr>
        <xdr:cNvPr id="476" name="Picture 29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753850" y="36957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188</xdr:row>
      <xdr:rowOff>0</xdr:rowOff>
    </xdr:from>
    <xdr:to>
      <xdr:col>15</xdr:col>
      <xdr:colOff>771525</xdr:colOff>
      <xdr:row>189</xdr:row>
      <xdr:rowOff>0</xdr:rowOff>
    </xdr:to>
    <xdr:pic>
      <xdr:nvPicPr>
        <xdr:cNvPr id="480" name="Picture 31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944350" y="36957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189</xdr:row>
      <xdr:rowOff>0</xdr:rowOff>
    </xdr:from>
    <xdr:to>
      <xdr:col>15</xdr:col>
      <xdr:colOff>390525</xdr:colOff>
      <xdr:row>190</xdr:row>
      <xdr:rowOff>0</xdr:rowOff>
    </xdr:to>
    <xdr:pic>
      <xdr:nvPicPr>
        <xdr:cNvPr id="481" name="Grafik 480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63350" y="3714750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189</xdr:row>
      <xdr:rowOff>0</xdr:rowOff>
    </xdr:from>
    <xdr:to>
      <xdr:col>15</xdr:col>
      <xdr:colOff>581025</xdr:colOff>
      <xdr:row>190</xdr:row>
      <xdr:rowOff>0</xdr:rowOff>
    </xdr:to>
    <xdr:pic>
      <xdr:nvPicPr>
        <xdr:cNvPr id="482" name="Picture 29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753850" y="37147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189</xdr:row>
      <xdr:rowOff>9525</xdr:rowOff>
    </xdr:from>
    <xdr:to>
      <xdr:col>15</xdr:col>
      <xdr:colOff>200025</xdr:colOff>
      <xdr:row>190</xdr:row>
      <xdr:rowOff>9525</xdr:rowOff>
    </xdr:to>
    <xdr:pic>
      <xdr:nvPicPr>
        <xdr:cNvPr id="483" name="Picture 325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72850" y="37157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190</xdr:row>
      <xdr:rowOff>0</xdr:rowOff>
    </xdr:from>
    <xdr:to>
      <xdr:col>15</xdr:col>
      <xdr:colOff>390525</xdr:colOff>
      <xdr:row>191</xdr:row>
      <xdr:rowOff>0</xdr:rowOff>
    </xdr:to>
    <xdr:pic>
      <xdr:nvPicPr>
        <xdr:cNvPr id="484" name="Grafik 483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63350" y="3733800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190</xdr:row>
      <xdr:rowOff>0</xdr:rowOff>
    </xdr:from>
    <xdr:to>
      <xdr:col>15</xdr:col>
      <xdr:colOff>581025</xdr:colOff>
      <xdr:row>191</xdr:row>
      <xdr:rowOff>0</xdr:rowOff>
    </xdr:to>
    <xdr:pic>
      <xdr:nvPicPr>
        <xdr:cNvPr id="497" name="Picture 29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753850" y="37338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190</xdr:row>
      <xdr:rowOff>9525</xdr:rowOff>
    </xdr:from>
    <xdr:to>
      <xdr:col>15</xdr:col>
      <xdr:colOff>200025</xdr:colOff>
      <xdr:row>191</xdr:row>
      <xdr:rowOff>9525</xdr:rowOff>
    </xdr:to>
    <xdr:pic>
      <xdr:nvPicPr>
        <xdr:cNvPr id="499" name="Picture 330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72850" y="37347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191</xdr:row>
      <xdr:rowOff>0</xdr:rowOff>
    </xdr:from>
    <xdr:to>
      <xdr:col>15</xdr:col>
      <xdr:colOff>390525</xdr:colOff>
      <xdr:row>192</xdr:row>
      <xdr:rowOff>0</xdr:rowOff>
    </xdr:to>
    <xdr:pic>
      <xdr:nvPicPr>
        <xdr:cNvPr id="500" name="Grafik 499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63350" y="3752850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191</xdr:row>
      <xdr:rowOff>9525</xdr:rowOff>
    </xdr:from>
    <xdr:to>
      <xdr:col>15</xdr:col>
      <xdr:colOff>200025</xdr:colOff>
      <xdr:row>192</xdr:row>
      <xdr:rowOff>9525</xdr:rowOff>
    </xdr:to>
    <xdr:pic>
      <xdr:nvPicPr>
        <xdr:cNvPr id="501" name="Picture 32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37538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191</xdr:row>
      <xdr:rowOff>0</xdr:rowOff>
    </xdr:from>
    <xdr:to>
      <xdr:col>15</xdr:col>
      <xdr:colOff>581025</xdr:colOff>
      <xdr:row>192</xdr:row>
      <xdr:rowOff>0</xdr:rowOff>
    </xdr:to>
    <xdr:pic>
      <xdr:nvPicPr>
        <xdr:cNvPr id="502" name="Picture 32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753850" y="37528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192</xdr:row>
      <xdr:rowOff>0</xdr:rowOff>
    </xdr:from>
    <xdr:to>
      <xdr:col>15</xdr:col>
      <xdr:colOff>200025</xdr:colOff>
      <xdr:row>192</xdr:row>
      <xdr:rowOff>190500</xdr:rowOff>
    </xdr:to>
    <xdr:pic>
      <xdr:nvPicPr>
        <xdr:cNvPr id="503" name="Picture 3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37719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192</xdr:row>
      <xdr:rowOff>0</xdr:rowOff>
    </xdr:from>
    <xdr:to>
      <xdr:col>15</xdr:col>
      <xdr:colOff>390525</xdr:colOff>
      <xdr:row>192</xdr:row>
      <xdr:rowOff>190500</xdr:rowOff>
    </xdr:to>
    <xdr:pic>
      <xdr:nvPicPr>
        <xdr:cNvPr id="504" name="Picture 31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63350" y="37719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192</xdr:row>
      <xdr:rowOff>0</xdr:rowOff>
    </xdr:from>
    <xdr:to>
      <xdr:col>15</xdr:col>
      <xdr:colOff>581025</xdr:colOff>
      <xdr:row>192</xdr:row>
      <xdr:rowOff>190500</xdr:rowOff>
    </xdr:to>
    <xdr:pic>
      <xdr:nvPicPr>
        <xdr:cNvPr id="505" name="Picture 27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753850" y="37719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192</xdr:row>
      <xdr:rowOff>9525</xdr:rowOff>
    </xdr:from>
    <xdr:to>
      <xdr:col>15</xdr:col>
      <xdr:colOff>771525</xdr:colOff>
      <xdr:row>193</xdr:row>
      <xdr:rowOff>0</xdr:rowOff>
    </xdr:to>
    <xdr:pic>
      <xdr:nvPicPr>
        <xdr:cNvPr id="506" name="Picture 29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944350" y="37728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762000</xdr:colOff>
      <xdr:row>192</xdr:row>
      <xdr:rowOff>9525</xdr:rowOff>
    </xdr:from>
    <xdr:to>
      <xdr:col>15</xdr:col>
      <xdr:colOff>952500</xdr:colOff>
      <xdr:row>193</xdr:row>
      <xdr:rowOff>0</xdr:rowOff>
    </xdr:to>
    <xdr:pic>
      <xdr:nvPicPr>
        <xdr:cNvPr id="507" name="Picture 32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125325" y="37728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222</xdr:row>
      <xdr:rowOff>0</xdr:rowOff>
    </xdr:from>
    <xdr:to>
      <xdr:col>15</xdr:col>
      <xdr:colOff>200025</xdr:colOff>
      <xdr:row>223</xdr:row>
      <xdr:rowOff>0</xdr:rowOff>
    </xdr:to>
    <xdr:pic>
      <xdr:nvPicPr>
        <xdr:cNvPr id="508" name="Picture 325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72850" y="38881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222</xdr:row>
      <xdr:rowOff>0</xdr:rowOff>
    </xdr:from>
    <xdr:to>
      <xdr:col>15</xdr:col>
      <xdr:colOff>381000</xdr:colOff>
      <xdr:row>223</xdr:row>
      <xdr:rowOff>0</xdr:rowOff>
    </xdr:to>
    <xdr:pic>
      <xdr:nvPicPr>
        <xdr:cNvPr id="509" name="Picture 33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38881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222</xdr:row>
      <xdr:rowOff>9525</xdr:rowOff>
    </xdr:from>
    <xdr:to>
      <xdr:col>15</xdr:col>
      <xdr:colOff>571500</xdr:colOff>
      <xdr:row>223</xdr:row>
      <xdr:rowOff>9525</xdr:rowOff>
    </xdr:to>
    <xdr:pic>
      <xdr:nvPicPr>
        <xdr:cNvPr id="510" name="Picture 33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744325" y="38890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222</xdr:row>
      <xdr:rowOff>9525</xdr:rowOff>
    </xdr:from>
    <xdr:to>
      <xdr:col>15</xdr:col>
      <xdr:colOff>762000</xdr:colOff>
      <xdr:row>223</xdr:row>
      <xdr:rowOff>9525</xdr:rowOff>
    </xdr:to>
    <xdr:pic>
      <xdr:nvPicPr>
        <xdr:cNvPr id="511" name="Picture 3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934825" y="38890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223</xdr:row>
      <xdr:rowOff>0</xdr:rowOff>
    </xdr:from>
    <xdr:to>
      <xdr:col>15</xdr:col>
      <xdr:colOff>190500</xdr:colOff>
      <xdr:row>224</xdr:row>
      <xdr:rowOff>0</xdr:rowOff>
    </xdr:to>
    <xdr:pic>
      <xdr:nvPicPr>
        <xdr:cNvPr id="512" name="Picture 3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63325" y="39071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224</xdr:row>
      <xdr:rowOff>0</xdr:rowOff>
    </xdr:from>
    <xdr:to>
      <xdr:col>15</xdr:col>
      <xdr:colOff>200025</xdr:colOff>
      <xdr:row>225</xdr:row>
      <xdr:rowOff>0</xdr:rowOff>
    </xdr:to>
    <xdr:pic>
      <xdr:nvPicPr>
        <xdr:cNvPr id="513" name="Picture 32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39262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225</xdr:row>
      <xdr:rowOff>0</xdr:rowOff>
    </xdr:from>
    <xdr:to>
      <xdr:col>15</xdr:col>
      <xdr:colOff>200025</xdr:colOff>
      <xdr:row>225</xdr:row>
      <xdr:rowOff>190500</xdr:rowOff>
    </xdr:to>
    <xdr:pic>
      <xdr:nvPicPr>
        <xdr:cNvPr id="514" name="Picture 330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72850" y="39452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223</xdr:row>
      <xdr:rowOff>0</xdr:rowOff>
    </xdr:from>
    <xdr:to>
      <xdr:col>15</xdr:col>
      <xdr:colOff>381000</xdr:colOff>
      <xdr:row>224</xdr:row>
      <xdr:rowOff>0</xdr:rowOff>
    </xdr:to>
    <xdr:pic>
      <xdr:nvPicPr>
        <xdr:cNvPr id="515" name="Picture 33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39071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223</xdr:row>
      <xdr:rowOff>9525</xdr:rowOff>
    </xdr:from>
    <xdr:to>
      <xdr:col>15</xdr:col>
      <xdr:colOff>571500</xdr:colOff>
      <xdr:row>224</xdr:row>
      <xdr:rowOff>9525</xdr:rowOff>
    </xdr:to>
    <xdr:pic>
      <xdr:nvPicPr>
        <xdr:cNvPr id="516" name="Picture 33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744325" y="39081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223</xdr:row>
      <xdr:rowOff>9525</xdr:rowOff>
    </xdr:from>
    <xdr:to>
      <xdr:col>15</xdr:col>
      <xdr:colOff>762000</xdr:colOff>
      <xdr:row>224</xdr:row>
      <xdr:rowOff>9525</xdr:rowOff>
    </xdr:to>
    <xdr:pic>
      <xdr:nvPicPr>
        <xdr:cNvPr id="517" name="Picture 3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934825" y="39081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224</xdr:row>
      <xdr:rowOff>0</xdr:rowOff>
    </xdr:from>
    <xdr:to>
      <xdr:col>15</xdr:col>
      <xdr:colOff>381000</xdr:colOff>
      <xdr:row>225</xdr:row>
      <xdr:rowOff>0</xdr:rowOff>
    </xdr:to>
    <xdr:pic>
      <xdr:nvPicPr>
        <xdr:cNvPr id="518" name="Picture 33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39262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224</xdr:row>
      <xdr:rowOff>9525</xdr:rowOff>
    </xdr:from>
    <xdr:to>
      <xdr:col>15</xdr:col>
      <xdr:colOff>571500</xdr:colOff>
      <xdr:row>225</xdr:row>
      <xdr:rowOff>9525</xdr:rowOff>
    </xdr:to>
    <xdr:pic>
      <xdr:nvPicPr>
        <xdr:cNvPr id="519" name="Picture 33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744325" y="39271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224</xdr:row>
      <xdr:rowOff>9525</xdr:rowOff>
    </xdr:from>
    <xdr:to>
      <xdr:col>15</xdr:col>
      <xdr:colOff>762000</xdr:colOff>
      <xdr:row>225</xdr:row>
      <xdr:rowOff>9525</xdr:rowOff>
    </xdr:to>
    <xdr:pic>
      <xdr:nvPicPr>
        <xdr:cNvPr id="520" name="Picture 3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934825" y="39271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225</xdr:row>
      <xdr:rowOff>0</xdr:rowOff>
    </xdr:from>
    <xdr:to>
      <xdr:col>15</xdr:col>
      <xdr:colOff>381000</xdr:colOff>
      <xdr:row>225</xdr:row>
      <xdr:rowOff>190500</xdr:rowOff>
    </xdr:to>
    <xdr:pic>
      <xdr:nvPicPr>
        <xdr:cNvPr id="521" name="Picture 33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39452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225</xdr:row>
      <xdr:rowOff>9525</xdr:rowOff>
    </xdr:from>
    <xdr:to>
      <xdr:col>15</xdr:col>
      <xdr:colOff>571500</xdr:colOff>
      <xdr:row>226</xdr:row>
      <xdr:rowOff>0</xdr:rowOff>
    </xdr:to>
    <xdr:pic>
      <xdr:nvPicPr>
        <xdr:cNvPr id="522" name="Picture 33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744325" y="39462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225</xdr:row>
      <xdr:rowOff>9525</xdr:rowOff>
    </xdr:from>
    <xdr:to>
      <xdr:col>15</xdr:col>
      <xdr:colOff>762000</xdr:colOff>
      <xdr:row>226</xdr:row>
      <xdr:rowOff>0</xdr:rowOff>
    </xdr:to>
    <xdr:pic>
      <xdr:nvPicPr>
        <xdr:cNvPr id="523" name="Picture 3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934825" y="39462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207</xdr:row>
      <xdr:rowOff>9525</xdr:rowOff>
    </xdr:from>
    <xdr:to>
      <xdr:col>15</xdr:col>
      <xdr:colOff>190500</xdr:colOff>
      <xdr:row>208</xdr:row>
      <xdr:rowOff>9525</xdr:rowOff>
    </xdr:to>
    <xdr:pic>
      <xdr:nvPicPr>
        <xdr:cNvPr id="524" name="Picture 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63325" y="5152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263</xdr:row>
      <xdr:rowOff>0</xdr:rowOff>
    </xdr:from>
    <xdr:to>
      <xdr:col>15</xdr:col>
      <xdr:colOff>200025</xdr:colOff>
      <xdr:row>264</xdr:row>
      <xdr:rowOff>0</xdr:rowOff>
    </xdr:to>
    <xdr:pic>
      <xdr:nvPicPr>
        <xdr:cNvPr id="525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52473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302</xdr:row>
      <xdr:rowOff>9525</xdr:rowOff>
    </xdr:from>
    <xdr:to>
      <xdr:col>15</xdr:col>
      <xdr:colOff>190500</xdr:colOff>
      <xdr:row>303</xdr:row>
      <xdr:rowOff>9525</xdr:rowOff>
    </xdr:to>
    <xdr:pic>
      <xdr:nvPicPr>
        <xdr:cNvPr id="527" name="Picture 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63325" y="56121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292</xdr:row>
      <xdr:rowOff>9525</xdr:rowOff>
    </xdr:from>
    <xdr:to>
      <xdr:col>15</xdr:col>
      <xdr:colOff>190500</xdr:colOff>
      <xdr:row>293</xdr:row>
      <xdr:rowOff>9525</xdr:rowOff>
    </xdr:to>
    <xdr:pic>
      <xdr:nvPicPr>
        <xdr:cNvPr id="528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63325" y="588073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292</xdr:row>
      <xdr:rowOff>0</xdr:rowOff>
    </xdr:from>
    <xdr:to>
      <xdr:col>15</xdr:col>
      <xdr:colOff>381000</xdr:colOff>
      <xdr:row>293</xdr:row>
      <xdr:rowOff>0</xdr:rowOff>
    </xdr:to>
    <xdr:pic>
      <xdr:nvPicPr>
        <xdr:cNvPr id="529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53825" y="58797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292</xdr:row>
      <xdr:rowOff>0</xdr:rowOff>
    </xdr:from>
    <xdr:to>
      <xdr:col>15</xdr:col>
      <xdr:colOff>571500</xdr:colOff>
      <xdr:row>293</xdr:row>
      <xdr:rowOff>0</xdr:rowOff>
    </xdr:to>
    <xdr:pic>
      <xdr:nvPicPr>
        <xdr:cNvPr id="530" name="Grafik 529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744325" y="587978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208</xdr:row>
      <xdr:rowOff>9525</xdr:rowOff>
    </xdr:from>
    <xdr:to>
      <xdr:col>15</xdr:col>
      <xdr:colOff>200025</xdr:colOff>
      <xdr:row>209</xdr:row>
      <xdr:rowOff>9525</xdr:rowOff>
    </xdr:to>
    <xdr:pic>
      <xdr:nvPicPr>
        <xdr:cNvPr id="531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51711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209</xdr:row>
      <xdr:rowOff>0</xdr:rowOff>
    </xdr:from>
    <xdr:to>
      <xdr:col>15</xdr:col>
      <xdr:colOff>200025</xdr:colOff>
      <xdr:row>210</xdr:row>
      <xdr:rowOff>0</xdr:rowOff>
    </xdr:to>
    <xdr:pic>
      <xdr:nvPicPr>
        <xdr:cNvPr id="532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72850" y="51892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210</xdr:row>
      <xdr:rowOff>0</xdr:rowOff>
    </xdr:from>
    <xdr:to>
      <xdr:col>15</xdr:col>
      <xdr:colOff>200025</xdr:colOff>
      <xdr:row>211</xdr:row>
      <xdr:rowOff>0</xdr:rowOff>
    </xdr:to>
    <xdr:pic>
      <xdr:nvPicPr>
        <xdr:cNvPr id="533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520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210</xdr:row>
      <xdr:rowOff>0</xdr:rowOff>
    </xdr:from>
    <xdr:to>
      <xdr:col>15</xdr:col>
      <xdr:colOff>381000</xdr:colOff>
      <xdr:row>211</xdr:row>
      <xdr:rowOff>0</xdr:rowOff>
    </xdr:to>
    <xdr:pic>
      <xdr:nvPicPr>
        <xdr:cNvPr id="534" name="Picture 15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53825" y="520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211</xdr:row>
      <xdr:rowOff>0</xdr:rowOff>
    </xdr:from>
    <xdr:to>
      <xdr:col>15</xdr:col>
      <xdr:colOff>200025</xdr:colOff>
      <xdr:row>211</xdr:row>
      <xdr:rowOff>190500</xdr:rowOff>
    </xdr:to>
    <xdr:pic>
      <xdr:nvPicPr>
        <xdr:cNvPr id="535" name="Picture 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72850" y="522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211</xdr:row>
      <xdr:rowOff>0</xdr:rowOff>
    </xdr:from>
    <xdr:to>
      <xdr:col>15</xdr:col>
      <xdr:colOff>390525</xdr:colOff>
      <xdr:row>211</xdr:row>
      <xdr:rowOff>190500</xdr:rowOff>
    </xdr:to>
    <xdr:pic>
      <xdr:nvPicPr>
        <xdr:cNvPr id="536" name="Picture 4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522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211</xdr:row>
      <xdr:rowOff>9525</xdr:rowOff>
    </xdr:from>
    <xdr:to>
      <xdr:col>15</xdr:col>
      <xdr:colOff>581025</xdr:colOff>
      <xdr:row>212</xdr:row>
      <xdr:rowOff>0</xdr:rowOff>
    </xdr:to>
    <xdr:pic>
      <xdr:nvPicPr>
        <xdr:cNvPr id="537" name="Picture 19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753850" y="52282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211</xdr:row>
      <xdr:rowOff>9525</xdr:rowOff>
    </xdr:from>
    <xdr:to>
      <xdr:col>15</xdr:col>
      <xdr:colOff>762000</xdr:colOff>
      <xdr:row>212</xdr:row>
      <xdr:rowOff>0</xdr:rowOff>
    </xdr:to>
    <xdr:pic>
      <xdr:nvPicPr>
        <xdr:cNvPr id="538" name="Picture 18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934825" y="52282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264</xdr:row>
      <xdr:rowOff>0</xdr:rowOff>
    </xdr:from>
    <xdr:to>
      <xdr:col>15</xdr:col>
      <xdr:colOff>200025</xdr:colOff>
      <xdr:row>265</xdr:row>
      <xdr:rowOff>0</xdr:rowOff>
    </xdr:to>
    <xdr:pic>
      <xdr:nvPicPr>
        <xdr:cNvPr id="539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52663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264</xdr:row>
      <xdr:rowOff>0</xdr:rowOff>
    </xdr:from>
    <xdr:to>
      <xdr:col>15</xdr:col>
      <xdr:colOff>390525</xdr:colOff>
      <xdr:row>265</xdr:row>
      <xdr:rowOff>0</xdr:rowOff>
    </xdr:to>
    <xdr:pic>
      <xdr:nvPicPr>
        <xdr:cNvPr id="540" name="Picture 4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52663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265</xdr:row>
      <xdr:rowOff>0</xdr:rowOff>
    </xdr:from>
    <xdr:to>
      <xdr:col>15</xdr:col>
      <xdr:colOff>200025</xdr:colOff>
      <xdr:row>266</xdr:row>
      <xdr:rowOff>0</xdr:rowOff>
    </xdr:to>
    <xdr:pic>
      <xdr:nvPicPr>
        <xdr:cNvPr id="541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52854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265</xdr:row>
      <xdr:rowOff>0</xdr:rowOff>
    </xdr:from>
    <xdr:to>
      <xdr:col>15</xdr:col>
      <xdr:colOff>390525</xdr:colOff>
      <xdr:row>266</xdr:row>
      <xdr:rowOff>0</xdr:rowOff>
    </xdr:to>
    <xdr:pic>
      <xdr:nvPicPr>
        <xdr:cNvPr id="542" name="Picture 4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52854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267</xdr:row>
      <xdr:rowOff>0</xdr:rowOff>
    </xdr:from>
    <xdr:to>
      <xdr:col>15</xdr:col>
      <xdr:colOff>200025</xdr:colOff>
      <xdr:row>267</xdr:row>
      <xdr:rowOff>190500</xdr:rowOff>
    </xdr:to>
    <xdr:pic>
      <xdr:nvPicPr>
        <xdr:cNvPr id="543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53235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371475</xdr:colOff>
      <xdr:row>264</xdr:row>
      <xdr:rowOff>0</xdr:rowOff>
    </xdr:from>
    <xdr:to>
      <xdr:col>15</xdr:col>
      <xdr:colOff>561975</xdr:colOff>
      <xdr:row>265</xdr:row>
      <xdr:rowOff>0</xdr:rowOff>
    </xdr:to>
    <xdr:pic>
      <xdr:nvPicPr>
        <xdr:cNvPr id="545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34800" y="52663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266</xdr:row>
      <xdr:rowOff>0</xdr:rowOff>
    </xdr:from>
    <xdr:to>
      <xdr:col>15</xdr:col>
      <xdr:colOff>200025</xdr:colOff>
      <xdr:row>267</xdr:row>
      <xdr:rowOff>0</xdr:rowOff>
    </xdr:to>
    <xdr:pic>
      <xdr:nvPicPr>
        <xdr:cNvPr id="546" name="Picture 4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372850" y="53044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266</xdr:row>
      <xdr:rowOff>0</xdr:rowOff>
    </xdr:from>
    <xdr:to>
      <xdr:col>15</xdr:col>
      <xdr:colOff>390525</xdr:colOff>
      <xdr:row>267</xdr:row>
      <xdr:rowOff>0</xdr:rowOff>
    </xdr:to>
    <xdr:pic>
      <xdr:nvPicPr>
        <xdr:cNvPr id="547" name="Grafik 546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63350" y="530447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303</xdr:row>
      <xdr:rowOff>9525</xdr:rowOff>
    </xdr:from>
    <xdr:to>
      <xdr:col>15</xdr:col>
      <xdr:colOff>190500</xdr:colOff>
      <xdr:row>304</xdr:row>
      <xdr:rowOff>9525</xdr:rowOff>
    </xdr:to>
    <xdr:pic>
      <xdr:nvPicPr>
        <xdr:cNvPr id="549" name="Picture 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63325" y="5631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305</xdr:row>
      <xdr:rowOff>9525</xdr:rowOff>
    </xdr:from>
    <xdr:to>
      <xdr:col>15</xdr:col>
      <xdr:colOff>200025</xdr:colOff>
      <xdr:row>306</xdr:row>
      <xdr:rowOff>9525</xdr:rowOff>
    </xdr:to>
    <xdr:pic>
      <xdr:nvPicPr>
        <xdr:cNvPr id="551" name="Picture 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56692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304</xdr:row>
      <xdr:rowOff>9525</xdr:rowOff>
    </xdr:from>
    <xdr:to>
      <xdr:col>15</xdr:col>
      <xdr:colOff>190500</xdr:colOff>
      <xdr:row>305</xdr:row>
      <xdr:rowOff>9525</xdr:rowOff>
    </xdr:to>
    <xdr:pic>
      <xdr:nvPicPr>
        <xdr:cNvPr id="554" name="Picture 64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363325" y="56502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342900</xdr:colOff>
      <xdr:row>302</xdr:row>
      <xdr:rowOff>9525</xdr:rowOff>
    </xdr:from>
    <xdr:to>
      <xdr:col>15</xdr:col>
      <xdr:colOff>533400</xdr:colOff>
      <xdr:row>303</xdr:row>
      <xdr:rowOff>9525</xdr:rowOff>
    </xdr:to>
    <xdr:pic>
      <xdr:nvPicPr>
        <xdr:cNvPr id="555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706225" y="56121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533400</xdr:colOff>
      <xdr:row>302</xdr:row>
      <xdr:rowOff>0</xdr:rowOff>
    </xdr:from>
    <xdr:to>
      <xdr:col>15</xdr:col>
      <xdr:colOff>723900</xdr:colOff>
      <xdr:row>303</xdr:row>
      <xdr:rowOff>0</xdr:rowOff>
    </xdr:to>
    <xdr:pic>
      <xdr:nvPicPr>
        <xdr:cNvPr id="556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896725" y="56111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342900</xdr:colOff>
      <xdr:row>303</xdr:row>
      <xdr:rowOff>9525</xdr:rowOff>
    </xdr:from>
    <xdr:to>
      <xdr:col>15</xdr:col>
      <xdr:colOff>533400</xdr:colOff>
      <xdr:row>304</xdr:row>
      <xdr:rowOff>9525</xdr:rowOff>
    </xdr:to>
    <xdr:pic>
      <xdr:nvPicPr>
        <xdr:cNvPr id="557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706225" y="5631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533400</xdr:colOff>
      <xdr:row>303</xdr:row>
      <xdr:rowOff>0</xdr:rowOff>
    </xdr:from>
    <xdr:to>
      <xdr:col>15</xdr:col>
      <xdr:colOff>723900</xdr:colOff>
      <xdr:row>304</xdr:row>
      <xdr:rowOff>0</xdr:rowOff>
    </xdr:to>
    <xdr:pic>
      <xdr:nvPicPr>
        <xdr:cNvPr id="558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896725" y="56302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352425</xdr:colOff>
      <xdr:row>304</xdr:row>
      <xdr:rowOff>9525</xdr:rowOff>
    </xdr:from>
    <xdr:to>
      <xdr:col>15</xdr:col>
      <xdr:colOff>542925</xdr:colOff>
      <xdr:row>305</xdr:row>
      <xdr:rowOff>9525</xdr:rowOff>
    </xdr:to>
    <xdr:pic>
      <xdr:nvPicPr>
        <xdr:cNvPr id="559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715750" y="56502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542925</xdr:colOff>
      <xdr:row>304</xdr:row>
      <xdr:rowOff>0</xdr:rowOff>
    </xdr:from>
    <xdr:to>
      <xdr:col>15</xdr:col>
      <xdr:colOff>733425</xdr:colOff>
      <xdr:row>305</xdr:row>
      <xdr:rowOff>0</xdr:rowOff>
    </xdr:to>
    <xdr:pic>
      <xdr:nvPicPr>
        <xdr:cNvPr id="560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906250" y="56492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352425</xdr:colOff>
      <xdr:row>305</xdr:row>
      <xdr:rowOff>9525</xdr:rowOff>
    </xdr:from>
    <xdr:to>
      <xdr:col>15</xdr:col>
      <xdr:colOff>542925</xdr:colOff>
      <xdr:row>306</xdr:row>
      <xdr:rowOff>9525</xdr:rowOff>
    </xdr:to>
    <xdr:pic>
      <xdr:nvPicPr>
        <xdr:cNvPr id="561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715750" y="56692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542925</xdr:colOff>
      <xdr:row>305</xdr:row>
      <xdr:rowOff>0</xdr:rowOff>
    </xdr:from>
    <xdr:to>
      <xdr:col>15</xdr:col>
      <xdr:colOff>733425</xdr:colOff>
      <xdr:row>306</xdr:row>
      <xdr:rowOff>0</xdr:rowOff>
    </xdr:to>
    <xdr:pic>
      <xdr:nvPicPr>
        <xdr:cNvPr id="562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906250" y="56683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180975</xdr:colOff>
      <xdr:row>306</xdr:row>
      <xdr:rowOff>0</xdr:rowOff>
    </xdr:from>
    <xdr:to>
      <xdr:col>15</xdr:col>
      <xdr:colOff>371475</xdr:colOff>
      <xdr:row>306</xdr:row>
      <xdr:rowOff>190500</xdr:rowOff>
    </xdr:to>
    <xdr:pic>
      <xdr:nvPicPr>
        <xdr:cNvPr id="563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544300" y="5687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371475</xdr:colOff>
      <xdr:row>306</xdr:row>
      <xdr:rowOff>0</xdr:rowOff>
    </xdr:from>
    <xdr:to>
      <xdr:col>15</xdr:col>
      <xdr:colOff>561975</xdr:colOff>
      <xdr:row>306</xdr:row>
      <xdr:rowOff>190500</xdr:rowOff>
    </xdr:to>
    <xdr:pic>
      <xdr:nvPicPr>
        <xdr:cNvPr id="564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734800" y="5687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304</xdr:row>
      <xdr:rowOff>9525</xdr:rowOff>
    </xdr:from>
    <xdr:to>
      <xdr:col>15</xdr:col>
      <xdr:colOff>352425</xdr:colOff>
      <xdr:row>305</xdr:row>
      <xdr:rowOff>9525</xdr:rowOff>
    </xdr:to>
    <xdr:pic>
      <xdr:nvPicPr>
        <xdr:cNvPr id="565" name="Picture 60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53825" y="5650230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306</xdr:row>
      <xdr:rowOff>0</xdr:rowOff>
    </xdr:from>
    <xdr:to>
      <xdr:col>15</xdr:col>
      <xdr:colOff>190500</xdr:colOff>
      <xdr:row>306</xdr:row>
      <xdr:rowOff>190500</xdr:rowOff>
    </xdr:to>
    <xdr:pic>
      <xdr:nvPicPr>
        <xdr:cNvPr id="566" name="Picture 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63325" y="5687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293</xdr:row>
      <xdr:rowOff>9525</xdr:rowOff>
    </xdr:from>
    <xdr:to>
      <xdr:col>15</xdr:col>
      <xdr:colOff>190500</xdr:colOff>
      <xdr:row>294</xdr:row>
      <xdr:rowOff>9525</xdr:rowOff>
    </xdr:to>
    <xdr:pic>
      <xdr:nvPicPr>
        <xdr:cNvPr id="567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56511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293</xdr:row>
      <xdr:rowOff>0</xdr:rowOff>
    </xdr:from>
    <xdr:to>
      <xdr:col>15</xdr:col>
      <xdr:colOff>381000</xdr:colOff>
      <xdr:row>294</xdr:row>
      <xdr:rowOff>0</xdr:rowOff>
    </xdr:to>
    <xdr:pic>
      <xdr:nvPicPr>
        <xdr:cNvPr id="568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725" y="56502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293</xdr:row>
      <xdr:rowOff>0</xdr:rowOff>
    </xdr:from>
    <xdr:to>
      <xdr:col>15</xdr:col>
      <xdr:colOff>571500</xdr:colOff>
      <xdr:row>294</xdr:row>
      <xdr:rowOff>0</xdr:rowOff>
    </xdr:to>
    <xdr:pic>
      <xdr:nvPicPr>
        <xdr:cNvPr id="569" name="Grafik 568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182225" y="5650230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295</xdr:row>
      <xdr:rowOff>9525</xdr:rowOff>
    </xdr:from>
    <xdr:to>
      <xdr:col>15</xdr:col>
      <xdr:colOff>190500</xdr:colOff>
      <xdr:row>296</xdr:row>
      <xdr:rowOff>9525</xdr:rowOff>
    </xdr:to>
    <xdr:pic>
      <xdr:nvPicPr>
        <xdr:cNvPr id="570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63325" y="593788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295</xdr:row>
      <xdr:rowOff>0</xdr:rowOff>
    </xdr:from>
    <xdr:to>
      <xdr:col>15</xdr:col>
      <xdr:colOff>381000</xdr:colOff>
      <xdr:row>296</xdr:row>
      <xdr:rowOff>0</xdr:rowOff>
    </xdr:to>
    <xdr:pic>
      <xdr:nvPicPr>
        <xdr:cNvPr id="571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53825" y="59369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295</xdr:row>
      <xdr:rowOff>0</xdr:rowOff>
    </xdr:from>
    <xdr:to>
      <xdr:col>15</xdr:col>
      <xdr:colOff>571500</xdr:colOff>
      <xdr:row>296</xdr:row>
      <xdr:rowOff>0</xdr:rowOff>
    </xdr:to>
    <xdr:pic>
      <xdr:nvPicPr>
        <xdr:cNvPr id="572" name="Grafik 571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744325" y="593693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296</xdr:row>
      <xdr:rowOff>9525</xdr:rowOff>
    </xdr:from>
    <xdr:to>
      <xdr:col>15</xdr:col>
      <xdr:colOff>190500</xdr:colOff>
      <xdr:row>297</xdr:row>
      <xdr:rowOff>0</xdr:rowOff>
    </xdr:to>
    <xdr:pic>
      <xdr:nvPicPr>
        <xdr:cNvPr id="573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63325" y="595693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296</xdr:row>
      <xdr:rowOff>0</xdr:rowOff>
    </xdr:from>
    <xdr:to>
      <xdr:col>15</xdr:col>
      <xdr:colOff>381000</xdr:colOff>
      <xdr:row>296</xdr:row>
      <xdr:rowOff>190500</xdr:rowOff>
    </xdr:to>
    <xdr:pic>
      <xdr:nvPicPr>
        <xdr:cNvPr id="574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53825" y="59559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296</xdr:row>
      <xdr:rowOff>0</xdr:rowOff>
    </xdr:from>
    <xdr:to>
      <xdr:col>15</xdr:col>
      <xdr:colOff>571500</xdr:colOff>
      <xdr:row>296</xdr:row>
      <xdr:rowOff>190500</xdr:rowOff>
    </xdr:to>
    <xdr:pic>
      <xdr:nvPicPr>
        <xdr:cNvPr id="575" name="Grafik 574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744325" y="595598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294</xdr:row>
      <xdr:rowOff>9525</xdr:rowOff>
    </xdr:from>
    <xdr:to>
      <xdr:col>15</xdr:col>
      <xdr:colOff>571500</xdr:colOff>
      <xdr:row>295</xdr:row>
      <xdr:rowOff>9525</xdr:rowOff>
    </xdr:to>
    <xdr:pic>
      <xdr:nvPicPr>
        <xdr:cNvPr id="576" name="Grafik 575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182225" y="567023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294</xdr:row>
      <xdr:rowOff>9525</xdr:rowOff>
    </xdr:from>
    <xdr:to>
      <xdr:col>15</xdr:col>
      <xdr:colOff>190500</xdr:colOff>
      <xdr:row>295</xdr:row>
      <xdr:rowOff>9525</xdr:rowOff>
    </xdr:to>
    <xdr:pic>
      <xdr:nvPicPr>
        <xdr:cNvPr id="577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01225" y="56702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294</xdr:row>
      <xdr:rowOff>9525</xdr:rowOff>
    </xdr:from>
    <xdr:to>
      <xdr:col>15</xdr:col>
      <xdr:colOff>381000</xdr:colOff>
      <xdr:row>295</xdr:row>
      <xdr:rowOff>9525</xdr:rowOff>
    </xdr:to>
    <xdr:pic>
      <xdr:nvPicPr>
        <xdr:cNvPr id="578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991725" y="56702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297</xdr:row>
      <xdr:rowOff>0</xdr:rowOff>
    </xdr:from>
    <xdr:to>
      <xdr:col>15</xdr:col>
      <xdr:colOff>200025</xdr:colOff>
      <xdr:row>298</xdr:row>
      <xdr:rowOff>0</xdr:rowOff>
    </xdr:to>
    <xdr:pic>
      <xdr:nvPicPr>
        <xdr:cNvPr id="608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60921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298</xdr:row>
      <xdr:rowOff>0</xdr:rowOff>
    </xdr:from>
    <xdr:to>
      <xdr:col>15</xdr:col>
      <xdr:colOff>200025</xdr:colOff>
      <xdr:row>299</xdr:row>
      <xdr:rowOff>0</xdr:rowOff>
    </xdr:to>
    <xdr:pic>
      <xdr:nvPicPr>
        <xdr:cNvPr id="609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61112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299</xdr:row>
      <xdr:rowOff>0</xdr:rowOff>
    </xdr:from>
    <xdr:to>
      <xdr:col>15</xdr:col>
      <xdr:colOff>200025</xdr:colOff>
      <xdr:row>300</xdr:row>
      <xdr:rowOff>0</xdr:rowOff>
    </xdr:to>
    <xdr:pic>
      <xdr:nvPicPr>
        <xdr:cNvPr id="610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72850" y="61302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300</xdr:row>
      <xdr:rowOff>0</xdr:rowOff>
    </xdr:from>
    <xdr:to>
      <xdr:col>15</xdr:col>
      <xdr:colOff>200025</xdr:colOff>
      <xdr:row>301</xdr:row>
      <xdr:rowOff>0</xdr:rowOff>
    </xdr:to>
    <xdr:pic>
      <xdr:nvPicPr>
        <xdr:cNvPr id="611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72850" y="61493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301</xdr:row>
      <xdr:rowOff>0</xdr:rowOff>
    </xdr:from>
    <xdr:to>
      <xdr:col>15</xdr:col>
      <xdr:colOff>200025</xdr:colOff>
      <xdr:row>301</xdr:row>
      <xdr:rowOff>190500</xdr:rowOff>
    </xdr:to>
    <xdr:pic>
      <xdr:nvPicPr>
        <xdr:cNvPr id="612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61683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301</xdr:row>
      <xdr:rowOff>9525</xdr:rowOff>
    </xdr:from>
    <xdr:to>
      <xdr:col>15</xdr:col>
      <xdr:colOff>390525</xdr:colOff>
      <xdr:row>302</xdr:row>
      <xdr:rowOff>0</xdr:rowOff>
    </xdr:to>
    <xdr:pic>
      <xdr:nvPicPr>
        <xdr:cNvPr id="613" name="Picture 92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61693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300</xdr:row>
      <xdr:rowOff>9525</xdr:rowOff>
    </xdr:from>
    <xdr:to>
      <xdr:col>15</xdr:col>
      <xdr:colOff>390525</xdr:colOff>
      <xdr:row>301</xdr:row>
      <xdr:rowOff>9525</xdr:rowOff>
    </xdr:to>
    <xdr:pic>
      <xdr:nvPicPr>
        <xdr:cNvPr id="614" name="Picture 10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63350" y="61502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212</xdr:row>
      <xdr:rowOff>0</xdr:rowOff>
    </xdr:from>
    <xdr:to>
      <xdr:col>15</xdr:col>
      <xdr:colOff>200025</xdr:colOff>
      <xdr:row>213</xdr:row>
      <xdr:rowOff>0</xdr:rowOff>
    </xdr:to>
    <xdr:pic>
      <xdr:nvPicPr>
        <xdr:cNvPr id="615" name="Picture 10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61883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213</xdr:row>
      <xdr:rowOff>0</xdr:rowOff>
    </xdr:from>
    <xdr:to>
      <xdr:col>15</xdr:col>
      <xdr:colOff>190500</xdr:colOff>
      <xdr:row>214</xdr:row>
      <xdr:rowOff>0</xdr:rowOff>
    </xdr:to>
    <xdr:pic>
      <xdr:nvPicPr>
        <xdr:cNvPr id="616" name="Picture 10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63325" y="62074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215</xdr:row>
      <xdr:rowOff>0</xdr:rowOff>
    </xdr:from>
    <xdr:to>
      <xdr:col>15</xdr:col>
      <xdr:colOff>190500</xdr:colOff>
      <xdr:row>216</xdr:row>
      <xdr:rowOff>0</xdr:rowOff>
    </xdr:to>
    <xdr:pic>
      <xdr:nvPicPr>
        <xdr:cNvPr id="617" name="Picture 10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63325" y="62455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216</xdr:row>
      <xdr:rowOff>0</xdr:rowOff>
    </xdr:from>
    <xdr:to>
      <xdr:col>15</xdr:col>
      <xdr:colOff>200025</xdr:colOff>
      <xdr:row>216</xdr:row>
      <xdr:rowOff>190500</xdr:rowOff>
    </xdr:to>
    <xdr:pic>
      <xdr:nvPicPr>
        <xdr:cNvPr id="618" name="Picture 10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62645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212</xdr:row>
      <xdr:rowOff>0</xdr:rowOff>
    </xdr:from>
    <xdr:to>
      <xdr:col>15</xdr:col>
      <xdr:colOff>390525</xdr:colOff>
      <xdr:row>213</xdr:row>
      <xdr:rowOff>0</xdr:rowOff>
    </xdr:to>
    <xdr:pic>
      <xdr:nvPicPr>
        <xdr:cNvPr id="619" name="Grafik 618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63350" y="618839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212</xdr:row>
      <xdr:rowOff>9525</xdr:rowOff>
    </xdr:from>
    <xdr:to>
      <xdr:col>15</xdr:col>
      <xdr:colOff>581025</xdr:colOff>
      <xdr:row>213</xdr:row>
      <xdr:rowOff>9525</xdr:rowOff>
    </xdr:to>
    <xdr:pic>
      <xdr:nvPicPr>
        <xdr:cNvPr id="620" name="Picture 92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753850" y="61893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213</xdr:row>
      <xdr:rowOff>0</xdr:rowOff>
    </xdr:from>
    <xdr:to>
      <xdr:col>15</xdr:col>
      <xdr:colOff>381000</xdr:colOff>
      <xdr:row>214</xdr:row>
      <xdr:rowOff>0</xdr:rowOff>
    </xdr:to>
    <xdr:pic>
      <xdr:nvPicPr>
        <xdr:cNvPr id="621" name="Grafik 620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53825" y="620744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216</xdr:row>
      <xdr:rowOff>9525</xdr:rowOff>
    </xdr:from>
    <xdr:to>
      <xdr:col>15</xdr:col>
      <xdr:colOff>581025</xdr:colOff>
      <xdr:row>217</xdr:row>
      <xdr:rowOff>0</xdr:rowOff>
    </xdr:to>
    <xdr:pic>
      <xdr:nvPicPr>
        <xdr:cNvPr id="622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1753850" y="62655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214</xdr:row>
      <xdr:rowOff>0</xdr:rowOff>
    </xdr:from>
    <xdr:to>
      <xdr:col>15</xdr:col>
      <xdr:colOff>200025</xdr:colOff>
      <xdr:row>215</xdr:row>
      <xdr:rowOff>0</xdr:rowOff>
    </xdr:to>
    <xdr:pic>
      <xdr:nvPicPr>
        <xdr:cNvPr id="623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62264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214</xdr:row>
      <xdr:rowOff>0</xdr:rowOff>
    </xdr:from>
    <xdr:to>
      <xdr:col>15</xdr:col>
      <xdr:colOff>381000</xdr:colOff>
      <xdr:row>215</xdr:row>
      <xdr:rowOff>0</xdr:rowOff>
    </xdr:to>
    <xdr:pic>
      <xdr:nvPicPr>
        <xdr:cNvPr id="624" name="Grafik 623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53825" y="622649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215</xdr:row>
      <xdr:rowOff>9525</xdr:rowOff>
    </xdr:from>
    <xdr:to>
      <xdr:col>15</xdr:col>
      <xdr:colOff>381000</xdr:colOff>
      <xdr:row>216</xdr:row>
      <xdr:rowOff>9525</xdr:rowOff>
    </xdr:to>
    <xdr:pic>
      <xdr:nvPicPr>
        <xdr:cNvPr id="625" name="Grafik 624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53825" y="624649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200025</xdr:colOff>
      <xdr:row>216</xdr:row>
      <xdr:rowOff>0</xdr:rowOff>
    </xdr:from>
    <xdr:to>
      <xdr:col>15</xdr:col>
      <xdr:colOff>390525</xdr:colOff>
      <xdr:row>216</xdr:row>
      <xdr:rowOff>190500</xdr:rowOff>
    </xdr:to>
    <xdr:pic>
      <xdr:nvPicPr>
        <xdr:cNvPr id="626" name="Grafik 625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63350" y="626459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257175</xdr:colOff>
      <xdr:row>215</xdr:row>
      <xdr:rowOff>9525</xdr:rowOff>
    </xdr:from>
    <xdr:to>
      <xdr:col>15</xdr:col>
      <xdr:colOff>447675</xdr:colOff>
      <xdr:row>216</xdr:row>
      <xdr:rowOff>9525</xdr:rowOff>
    </xdr:to>
    <xdr:pic>
      <xdr:nvPicPr>
        <xdr:cNvPr id="628" name="Grafik 627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620500" y="624649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304800</xdr:colOff>
      <xdr:row>215</xdr:row>
      <xdr:rowOff>9525</xdr:rowOff>
    </xdr:from>
    <xdr:to>
      <xdr:col>15</xdr:col>
      <xdr:colOff>495300</xdr:colOff>
      <xdr:row>216</xdr:row>
      <xdr:rowOff>9525</xdr:rowOff>
    </xdr:to>
    <xdr:pic>
      <xdr:nvPicPr>
        <xdr:cNvPr id="629" name="Picture 94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668125" y="62464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215</xdr:row>
      <xdr:rowOff>9525</xdr:rowOff>
    </xdr:from>
    <xdr:to>
      <xdr:col>15</xdr:col>
      <xdr:colOff>581025</xdr:colOff>
      <xdr:row>216</xdr:row>
      <xdr:rowOff>9525</xdr:rowOff>
    </xdr:to>
    <xdr:pic>
      <xdr:nvPicPr>
        <xdr:cNvPr id="630" name="Picture 8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753850" y="62464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215</xdr:row>
      <xdr:rowOff>9525</xdr:rowOff>
    </xdr:from>
    <xdr:to>
      <xdr:col>15</xdr:col>
      <xdr:colOff>771525</xdr:colOff>
      <xdr:row>216</xdr:row>
      <xdr:rowOff>9525</xdr:rowOff>
    </xdr:to>
    <xdr:pic>
      <xdr:nvPicPr>
        <xdr:cNvPr id="631" name="Picture 85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944350" y="62464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685800</xdr:colOff>
      <xdr:row>215</xdr:row>
      <xdr:rowOff>9525</xdr:rowOff>
    </xdr:from>
    <xdr:to>
      <xdr:col>15</xdr:col>
      <xdr:colOff>847725</xdr:colOff>
      <xdr:row>216</xdr:row>
      <xdr:rowOff>9525</xdr:rowOff>
    </xdr:to>
    <xdr:pic>
      <xdr:nvPicPr>
        <xdr:cNvPr id="632" name="Picture 82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2049125" y="624649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790575</xdr:colOff>
      <xdr:row>215</xdr:row>
      <xdr:rowOff>9525</xdr:rowOff>
    </xdr:from>
    <xdr:to>
      <xdr:col>15</xdr:col>
      <xdr:colOff>981075</xdr:colOff>
      <xdr:row>216</xdr:row>
      <xdr:rowOff>9525</xdr:rowOff>
    </xdr:to>
    <xdr:pic>
      <xdr:nvPicPr>
        <xdr:cNvPr id="633" name="Picture 1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153900" y="62464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885825</xdr:colOff>
      <xdr:row>215</xdr:row>
      <xdr:rowOff>9525</xdr:rowOff>
    </xdr:from>
    <xdr:to>
      <xdr:col>16</xdr:col>
      <xdr:colOff>0</xdr:colOff>
      <xdr:row>216</xdr:row>
      <xdr:rowOff>9525</xdr:rowOff>
    </xdr:to>
    <xdr:pic>
      <xdr:nvPicPr>
        <xdr:cNvPr id="627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2249150" y="62464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216</xdr:row>
      <xdr:rowOff>9525</xdr:rowOff>
    </xdr:from>
    <xdr:to>
      <xdr:col>15</xdr:col>
      <xdr:colOff>771525</xdr:colOff>
      <xdr:row>217</xdr:row>
      <xdr:rowOff>0</xdr:rowOff>
    </xdr:to>
    <xdr:pic>
      <xdr:nvPicPr>
        <xdr:cNvPr id="634" name="Picture 1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944350" y="62655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213</xdr:row>
      <xdr:rowOff>0</xdr:rowOff>
    </xdr:from>
    <xdr:to>
      <xdr:col>15</xdr:col>
      <xdr:colOff>571500</xdr:colOff>
      <xdr:row>214</xdr:row>
      <xdr:rowOff>0</xdr:rowOff>
    </xdr:to>
    <xdr:pic>
      <xdr:nvPicPr>
        <xdr:cNvPr id="635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1744325" y="62074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214</xdr:row>
      <xdr:rowOff>0</xdr:rowOff>
    </xdr:from>
    <xdr:to>
      <xdr:col>15</xdr:col>
      <xdr:colOff>571500</xdr:colOff>
      <xdr:row>215</xdr:row>
      <xdr:rowOff>0</xdr:rowOff>
    </xdr:to>
    <xdr:pic>
      <xdr:nvPicPr>
        <xdr:cNvPr id="636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1744325" y="62264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174</xdr:row>
      <xdr:rowOff>9525</xdr:rowOff>
    </xdr:from>
    <xdr:to>
      <xdr:col>15</xdr:col>
      <xdr:colOff>381000</xdr:colOff>
      <xdr:row>175</xdr:row>
      <xdr:rowOff>9525</xdr:rowOff>
    </xdr:to>
    <xdr:pic>
      <xdr:nvPicPr>
        <xdr:cNvPr id="579" name="Grafik 578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91925" y="3429000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180975</xdr:colOff>
      <xdr:row>341</xdr:row>
      <xdr:rowOff>9525</xdr:rowOff>
    </xdr:from>
    <xdr:to>
      <xdr:col>15</xdr:col>
      <xdr:colOff>371475</xdr:colOff>
      <xdr:row>342</xdr:row>
      <xdr:rowOff>9525</xdr:rowOff>
    </xdr:to>
    <xdr:pic>
      <xdr:nvPicPr>
        <xdr:cNvPr id="580" name="Picture 1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82400" y="63436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352</xdr:row>
      <xdr:rowOff>0</xdr:rowOff>
    </xdr:from>
    <xdr:to>
      <xdr:col>15</xdr:col>
      <xdr:colOff>590550</xdr:colOff>
      <xdr:row>353</xdr:row>
      <xdr:rowOff>0</xdr:rowOff>
    </xdr:to>
    <xdr:pic>
      <xdr:nvPicPr>
        <xdr:cNvPr id="581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34650" y="67256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89</xdr:row>
      <xdr:rowOff>9525</xdr:rowOff>
    </xdr:from>
    <xdr:to>
      <xdr:col>15</xdr:col>
      <xdr:colOff>581025</xdr:colOff>
      <xdr:row>90</xdr:row>
      <xdr:rowOff>0</xdr:rowOff>
    </xdr:to>
    <xdr:pic>
      <xdr:nvPicPr>
        <xdr:cNvPr id="582" name="Picture 15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525125" y="216598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317</xdr:row>
      <xdr:rowOff>0</xdr:rowOff>
    </xdr:from>
    <xdr:to>
      <xdr:col>15</xdr:col>
      <xdr:colOff>581025</xdr:colOff>
      <xdr:row>318</xdr:row>
      <xdr:rowOff>0</xdr:rowOff>
    </xdr:to>
    <xdr:pic>
      <xdr:nvPicPr>
        <xdr:cNvPr id="583" name="Picture 38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525125" y="42329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37</xdr:row>
      <xdr:rowOff>9525</xdr:rowOff>
    </xdr:from>
    <xdr:to>
      <xdr:col>15</xdr:col>
      <xdr:colOff>390525</xdr:colOff>
      <xdr:row>38</xdr:row>
      <xdr:rowOff>9525</xdr:rowOff>
    </xdr:to>
    <xdr:pic>
      <xdr:nvPicPr>
        <xdr:cNvPr id="586" name="Picture 1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001250" y="7105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38</xdr:row>
      <xdr:rowOff>9525</xdr:rowOff>
    </xdr:from>
    <xdr:to>
      <xdr:col>15</xdr:col>
      <xdr:colOff>381000</xdr:colOff>
      <xdr:row>39</xdr:row>
      <xdr:rowOff>0</xdr:rowOff>
    </xdr:to>
    <xdr:pic>
      <xdr:nvPicPr>
        <xdr:cNvPr id="587" name="Picture 1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91725" y="7296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146</xdr:row>
      <xdr:rowOff>9525</xdr:rowOff>
    </xdr:from>
    <xdr:to>
      <xdr:col>15</xdr:col>
      <xdr:colOff>571500</xdr:colOff>
      <xdr:row>147</xdr:row>
      <xdr:rowOff>9525</xdr:rowOff>
    </xdr:to>
    <xdr:pic>
      <xdr:nvPicPr>
        <xdr:cNvPr id="601" name="Picture 2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82225" y="27974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158</xdr:row>
      <xdr:rowOff>0</xdr:rowOff>
    </xdr:from>
    <xdr:to>
      <xdr:col>15</xdr:col>
      <xdr:colOff>581025</xdr:colOff>
      <xdr:row>159</xdr:row>
      <xdr:rowOff>0</xdr:rowOff>
    </xdr:to>
    <xdr:pic>
      <xdr:nvPicPr>
        <xdr:cNvPr id="638" name="Picture 21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0191750" y="30251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182</xdr:row>
      <xdr:rowOff>0</xdr:rowOff>
    </xdr:from>
    <xdr:to>
      <xdr:col>15</xdr:col>
      <xdr:colOff>581025</xdr:colOff>
      <xdr:row>183</xdr:row>
      <xdr:rowOff>0</xdr:rowOff>
    </xdr:to>
    <xdr:pic>
      <xdr:nvPicPr>
        <xdr:cNvPr id="641" name="Picture 2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91750" y="35804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185</xdr:row>
      <xdr:rowOff>9525</xdr:rowOff>
    </xdr:from>
    <xdr:to>
      <xdr:col>15</xdr:col>
      <xdr:colOff>581025</xdr:colOff>
      <xdr:row>186</xdr:row>
      <xdr:rowOff>9525</xdr:rowOff>
    </xdr:to>
    <xdr:pic>
      <xdr:nvPicPr>
        <xdr:cNvPr id="642" name="Picture 2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91750" y="36385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189</xdr:row>
      <xdr:rowOff>0</xdr:rowOff>
    </xdr:from>
    <xdr:to>
      <xdr:col>15</xdr:col>
      <xdr:colOff>771525</xdr:colOff>
      <xdr:row>190</xdr:row>
      <xdr:rowOff>0</xdr:rowOff>
    </xdr:to>
    <xdr:pic>
      <xdr:nvPicPr>
        <xdr:cNvPr id="594" name="Picture 2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382250" y="37147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205</xdr:row>
      <xdr:rowOff>0</xdr:rowOff>
    </xdr:from>
    <xdr:to>
      <xdr:col>15</xdr:col>
      <xdr:colOff>381000</xdr:colOff>
      <xdr:row>206</xdr:row>
      <xdr:rowOff>0</xdr:rowOff>
    </xdr:to>
    <xdr:pic>
      <xdr:nvPicPr>
        <xdr:cNvPr id="599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991725" y="41938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325</xdr:row>
      <xdr:rowOff>9525</xdr:rowOff>
    </xdr:from>
    <xdr:to>
      <xdr:col>15</xdr:col>
      <xdr:colOff>581025</xdr:colOff>
      <xdr:row>326</xdr:row>
      <xdr:rowOff>9525</xdr:rowOff>
    </xdr:to>
    <xdr:pic>
      <xdr:nvPicPr>
        <xdr:cNvPr id="602" name="Picture 347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91750" y="43862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590550</xdr:colOff>
      <xdr:row>236</xdr:row>
      <xdr:rowOff>0</xdr:rowOff>
    </xdr:from>
    <xdr:to>
      <xdr:col>15</xdr:col>
      <xdr:colOff>781050</xdr:colOff>
      <xdr:row>237</xdr:row>
      <xdr:rowOff>0</xdr:rowOff>
    </xdr:to>
    <xdr:pic>
      <xdr:nvPicPr>
        <xdr:cNvPr id="603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0391775" y="46910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762000</xdr:colOff>
      <xdr:row>238</xdr:row>
      <xdr:rowOff>9525</xdr:rowOff>
    </xdr:from>
    <xdr:to>
      <xdr:col>15</xdr:col>
      <xdr:colOff>923925</xdr:colOff>
      <xdr:row>239</xdr:row>
      <xdr:rowOff>0</xdr:rowOff>
    </xdr:to>
    <xdr:pic>
      <xdr:nvPicPr>
        <xdr:cNvPr id="604" name="Picture 43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563225" y="473011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246</xdr:row>
      <xdr:rowOff>0</xdr:rowOff>
    </xdr:from>
    <xdr:to>
      <xdr:col>15</xdr:col>
      <xdr:colOff>590550</xdr:colOff>
      <xdr:row>247</xdr:row>
      <xdr:rowOff>0</xdr:rowOff>
    </xdr:to>
    <xdr:pic>
      <xdr:nvPicPr>
        <xdr:cNvPr id="605" name="Picture 43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01275" y="50930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267</xdr:row>
      <xdr:rowOff>0</xdr:rowOff>
    </xdr:from>
    <xdr:to>
      <xdr:col>15</xdr:col>
      <xdr:colOff>390525</xdr:colOff>
      <xdr:row>267</xdr:row>
      <xdr:rowOff>190500</xdr:rowOff>
    </xdr:to>
    <xdr:pic>
      <xdr:nvPicPr>
        <xdr:cNvPr id="606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001250" y="53235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276</xdr:row>
      <xdr:rowOff>0</xdr:rowOff>
    </xdr:from>
    <xdr:to>
      <xdr:col>15</xdr:col>
      <xdr:colOff>390525</xdr:colOff>
      <xdr:row>277</xdr:row>
      <xdr:rowOff>0</xdr:rowOff>
    </xdr:to>
    <xdr:pic>
      <xdr:nvPicPr>
        <xdr:cNvPr id="607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001250" y="54959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590550</xdr:colOff>
      <xdr:row>280</xdr:row>
      <xdr:rowOff>0</xdr:rowOff>
    </xdr:from>
    <xdr:to>
      <xdr:col>15</xdr:col>
      <xdr:colOff>781050</xdr:colOff>
      <xdr:row>281</xdr:row>
      <xdr:rowOff>0</xdr:rowOff>
    </xdr:to>
    <xdr:pic>
      <xdr:nvPicPr>
        <xdr:cNvPr id="637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391775" y="55721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302</xdr:row>
      <xdr:rowOff>9525</xdr:rowOff>
    </xdr:from>
    <xdr:to>
      <xdr:col>15</xdr:col>
      <xdr:colOff>352425</xdr:colOff>
      <xdr:row>303</xdr:row>
      <xdr:rowOff>9525</xdr:rowOff>
    </xdr:to>
    <xdr:pic>
      <xdr:nvPicPr>
        <xdr:cNvPr id="640" name="Picture 55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991725" y="5612130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171450</xdr:colOff>
      <xdr:row>303</xdr:row>
      <xdr:rowOff>9525</xdr:rowOff>
    </xdr:from>
    <xdr:to>
      <xdr:col>15</xdr:col>
      <xdr:colOff>361950</xdr:colOff>
      <xdr:row>304</xdr:row>
      <xdr:rowOff>9525</xdr:rowOff>
    </xdr:to>
    <xdr:pic>
      <xdr:nvPicPr>
        <xdr:cNvPr id="643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972675" y="5631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161925</xdr:colOff>
      <xdr:row>305</xdr:row>
      <xdr:rowOff>9525</xdr:rowOff>
    </xdr:from>
    <xdr:to>
      <xdr:col>15</xdr:col>
      <xdr:colOff>352425</xdr:colOff>
      <xdr:row>306</xdr:row>
      <xdr:rowOff>9525</xdr:rowOff>
    </xdr:to>
    <xdr:pic>
      <xdr:nvPicPr>
        <xdr:cNvPr id="644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963150" y="56692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590550</xdr:colOff>
      <xdr:row>290</xdr:row>
      <xdr:rowOff>0</xdr:rowOff>
    </xdr:from>
    <xdr:to>
      <xdr:col>15</xdr:col>
      <xdr:colOff>781050</xdr:colOff>
      <xdr:row>291</xdr:row>
      <xdr:rowOff>0</xdr:rowOff>
    </xdr:to>
    <xdr:pic>
      <xdr:nvPicPr>
        <xdr:cNvPr id="647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0391775" y="58407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241</xdr:row>
      <xdr:rowOff>0</xdr:rowOff>
    </xdr:from>
    <xdr:to>
      <xdr:col>15</xdr:col>
      <xdr:colOff>571500</xdr:colOff>
      <xdr:row>241</xdr:row>
      <xdr:rowOff>190500</xdr:rowOff>
    </xdr:to>
    <xdr:pic>
      <xdr:nvPicPr>
        <xdr:cNvPr id="648" name="Picture 10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82225" y="63226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343</xdr:row>
      <xdr:rowOff>9525</xdr:rowOff>
    </xdr:from>
    <xdr:to>
      <xdr:col>15</xdr:col>
      <xdr:colOff>381000</xdr:colOff>
      <xdr:row>344</xdr:row>
      <xdr:rowOff>9525</xdr:rowOff>
    </xdr:to>
    <xdr:pic>
      <xdr:nvPicPr>
        <xdr:cNvPr id="650" name="Picture 92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991725" y="63817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371475</xdr:colOff>
      <xdr:row>341</xdr:row>
      <xdr:rowOff>0</xdr:rowOff>
    </xdr:from>
    <xdr:to>
      <xdr:col>15</xdr:col>
      <xdr:colOff>561975</xdr:colOff>
      <xdr:row>342</xdr:row>
      <xdr:rowOff>0</xdr:rowOff>
    </xdr:to>
    <xdr:pic>
      <xdr:nvPicPr>
        <xdr:cNvPr id="652" name="Picture 10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72700" y="63426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180975</xdr:colOff>
      <xdr:row>52</xdr:row>
      <xdr:rowOff>9525</xdr:rowOff>
    </xdr:from>
    <xdr:to>
      <xdr:col>15</xdr:col>
      <xdr:colOff>371475</xdr:colOff>
      <xdr:row>53</xdr:row>
      <xdr:rowOff>9525</xdr:rowOff>
    </xdr:to>
    <xdr:pic>
      <xdr:nvPicPr>
        <xdr:cNvPr id="653" name="Picture 8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82200" y="9972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66</xdr:row>
      <xdr:rowOff>9525</xdr:rowOff>
    </xdr:from>
    <xdr:to>
      <xdr:col>15</xdr:col>
      <xdr:colOff>381000</xdr:colOff>
      <xdr:row>67</xdr:row>
      <xdr:rowOff>0</xdr:rowOff>
    </xdr:to>
    <xdr:pic>
      <xdr:nvPicPr>
        <xdr:cNvPr id="654" name="Picture 8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91725" y="12649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190</xdr:row>
      <xdr:rowOff>0</xdr:rowOff>
    </xdr:from>
    <xdr:to>
      <xdr:col>15</xdr:col>
      <xdr:colOff>771525</xdr:colOff>
      <xdr:row>191</xdr:row>
      <xdr:rowOff>0</xdr:rowOff>
    </xdr:to>
    <xdr:pic>
      <xdr:nvPicPr>
        <xdr:cNvPr id="656" name="Picture 21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0382250" y="37338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263</xdr:row>
      <xdr:rowOff>0</xdr:rowOff>
    </xdr:from>
    <xdr:to>
      <xdr:col>15</xdr:col>
      <xdr:colOff>381000</xdr:colOff>
      <xdr:row>264</xdr:row>
      <xdr:rowOff>0</xdr:rowOff>
    </xdr:to>
    <xdr:pic>
      <xdr:nvPicPr>
        <xdr:cNvPr id="646" name="Picture 43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91725" y="52473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561975</xdr:colOff>
      <xdr:row>341</xdr:row>
      <xdr:rowOff>9525</xdr:rowOff>
    </xdr:from>
    <xdr:to>
      <xdr:col>15</xdr:col>
      <xdr:colOff>752475</xdr:colOff>
      <xdr:row>342</xdr:row>
      <xdr:rowOff>9525</xdr:rowOff>
    </xdr:to>
    <xdr:pic>
      <xdr:nvPicPr>
        <xdr:cNvPr id="639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363200" y="63436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340</xdr:row>
      <xdr:rowOff>9525</xdr:rowOff>
    </xdr:from>
    <xdr:to>
      <xdr:col>15</xdr:col>
      <xdr:colOff>200025</xdr:colOff>
      <xdr:row>341</xdr:row>
      <xdr:rowOff>0</xdr:rowOff>
    </xdr:to>
    <xdr:pic>
      <xdr:nvPicPr>
        <xdr:cNvPr id="595" name="Picture 146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810750" y="67846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331</xdr:row>
      <xdr:rowOff>9525</xdr:rowOff>
    </xdr:from>
    <xdr:to>
      <xdr:col>15</xdr:col>
      <xdr:colOff>200025</xdr:colOff>
      <xdr:row>332</xdr:row>
      <xdr:rowOff>9525</xdr:rowOff>
    </xdr:to>
    <xdr:pic>
      <xdr:nvPicPr>
        <xdr:cNvPr id="596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0" y="64398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346</xdr:row>
      <xdr:rowOff>0</xdr:rowOff>
    </xdr:from>
    <xdr:to>
      <xdr:col>15</xdr:col>
      <xdr:colOff>200025</xdr:colOff>
      <xdr:row>347</xdr:row>
      <xdr:rowOff>0</xdr:rowOff>
    </xdr:to>
    <xdr:pic>
      <xdr:nvPicPr>
        <xdr:cNvPr id="597" name="Picture 9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810750" y="66113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86</xdr:row>
      <xdr:rowOff>9525</xdr:rowOff>
    </xdr:from>
    <xdr:to>
      <xdr:col>15</xdr:col>
      <xdr:colOff>581025</xdr:colOff>
      <xdr:row>87</xdr:row>
      <xdr:rowOff>0</xdr:rowOff>
    </xdr:to>
    <xdr:pic>
      <xdr:nvPicPr>
        <xdr:cNvPr id="598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91750" y="16764000"/>
          <a:ext cx="190500" cy="190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923925</xdr:colOff>
      <xdr:row>4</xdr:row>
      <xdr:rowOff>9525</xdr:rowOff>
    </xdr:from>
    <xdr:to>
      <xdr:col>0</xdr:col>
      <xdr:colOff>1114425</xdr:colOff>
      <xdr:row>5</xdr:row>
      <xdr:rowOff>0</xdr:rowOff>
    </xdr:to>
    <xdr:pic>
      <xdr:nvPicPr>
        <xdr:cNvPr id="2" name="Picture 118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925" y="866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904875</xdr:colOff>
      <xdr:row>7</xdr:row>
      <xdr:rowOff>9525</xdr:rowOff>
    </xdr:from>
    <xdr:to>
      <xdr:col>0</xdr:col>
      <xdr:colOff>1095375</xdr:colOff>
      <xdr:row>8</xdr:row>
      <xdr:rowOff>0</xdr:rowOff>
    </xdr:to>
    <xdr:pic>
      <xdr:nvPicPr>
        <xdr:cNvPr id="4" name="Picture 126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4875" y="1466850"/>
          <a:ext cx="190500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/>
  <dimension ref="A1:AT163"/>
  <sheetViews>
    <sheetView tabSelected="1" zoomScale="70" zoomScaleNormal="70" workbookViewId="0">
      <selection activeCell="F173" sqref="F173"/>
    </sheetView>
  </sheetViews>
  <sheetFormatPr baseColWidth="10" defaultRowHeight="15"/>
  <cols>
    <col min="1" max="1" width="19.42578125" customWidth="1"/>
    <col min="2" max="2" width="14.42578125" customWidth="1"/>
    <col min="3" max="3" width="12.85546875" bestFit="1" customWidth="1"/>
    <col min="4" max="4" width="13.140625" bestFit="1" customWidth="1"/>
    <col min="5" max="5" width="15.7109375" bestFit="1" customWidth="1"/>
    <col min="6" max="6" width="18.140625" customWidth="1"/>
    <col min="7" max="7" width="13.28515625" customWidth="1"/>
    <col min="8" max="8" width="18.85546875" customWidth="1"/>
    <col min="9" max="9" width="19.42578125" customWidth="1"/>
    <col min="10" max="10" width="19.85546875" style="8" customWidth="1"/>
    <col min="11" max="11" width="15.85546875" style="8" customWidth="1"/>
    <col min="12" max="12" width="2.5703125" style="8" customWidth="1"/>
    <col min="13" max="13" width="15" style="8" customWidth="1"/>
    <col min="14" max="14" width="13.5703125" style="8" customWidth="1"/>
    <col min="15" max="15" width="12.42578125" style="8" customWidth="1"/>
    <col min="16" max="16" width="13.5703125" style="8" customWidth="1"/>
    <col min="17" max="17" width="2.85546875" customWidth="1"/>
    <col min="18" max="19" width="2.5703125" customWidth="1"/>
    <col min="20" max="20" width="12.85546875" customWidth="1"/>
    <col min="21" max="21" width="11.42578125" customWidth="1"/>
    <col min="22" max="22" width="13.140625" bestFit="1" customWidth="1"/>
    <col min="23" max="23" width="9.5703125" customWidth="1"/>
    <col min="24" max="25" width="15.28515625" bestFit="1" customWidth="1"/>
    <col min="26" max="26" width="8" customWidth="1"/>
    <col min="27" max="28" width="5.85546875" customWidth="1"/>
    <col min="29" max="29" width="5.5703125" customWidth="1"/>
    <col min="30" max="30" width="13.85546875" customWidth="1"/>
    <col min="31" max="31" width="11.7109375" bestFit="1" customWidth="1"/>
    <col min="33" max="33" width="2.85546875" customWidth="1"/>
    <col min="34" max="34" width="2.28515625" customWidth="1"/>
    <col min="36" max="36" width="18" customWidth="1"/>
    <col min="39" max="39" width="17.7109375" customWidth="1"/>
    <col min="40" max="40" width="23.5703125" customWidth="1"/>
    <col min="41" max="41" width="16.140625" bestFit="1" customWidth="1"/>
  </cols>
  <sheetData>
    <row r="1" spans="1:25" ht="25.5" customHeight="1">
      <c r="A1" s="2" t="s">
        <v>0</v>
      </c>
    </row>
    <row r="2" spans="1:25" ht="18" customHeight="1">
      <c r="A2" s="2"/>
      <c r="T2" s="227" t="s">
        <v>481</v>
      </c>
      <c r="U2" s="25"/>
      <c r="V2" s="25"/>
      <c r="W2" s="227" t="s">
        <v>407</v>
      </c>
    </row>
    <row r="3" spans="1:25" ht="18" customHeight="1">
      <c r="A3" s="2"/>
      <c r="B3" s="117" t="s">
        <v>660</v>
      </c>
    </row>
    <row r="4" spans="1:25" ht="18" customHeight="1">
      <c r="A4" s="2"/>
      <c r="B4" s="232" t="s">
        <v>659</v>
      </c>
      <c r="O4" s="228" t="s">
        <v>658</v>
      </c>
      <c r="T4" s="134" t="s">
        <v>408</v>
      </c>
      <c r="U4" s="76" t="s">
        <v>691</v>
      </c>
      <c r="W4" s="134" t="s">
        <v>408</v>
      </c>
      <c r="X4" s="134" t="s">
        <v>22</v>
      </c>
    </row>
    <row r="5" spans="1:25" ht="18" customHeight="1">
      <c r="A5" s="2"/>
      <c r="B5" s="117" t="s">
        <v>479</v>
      </c>
      <c r="T5" s="5" t="s">
        <v>421</v>
      </c>
      <c r="U5" s="226">
        <f>$W$50*$Y$42</f>
        <v>7058.333333333333</v>
      </c>
      <c r="W5" s="5" t="s">
        <v>2</v>
      </c>
      <c r="X5" s="297">
        <f>AE34/AE35</f>
        <v>1.6209671179883949</v>
      </c>
    </row>
    <row r="6" spans="1:25" ht="18" customHeight="1">
      <c r="A6" s="187" t="s">
        <v>21</v>
      </c>
      <c r="B6" s="25"/>
      <c r="C6" s="213" t="s">
        <v>2</v>
      </c>
      <c r="D6" s="213" t="s">
        <v>3</v>
      </c>
      <c r="E6" s="213" t="s">
        <v>4</v>
      </c>
      <c r="F6" s="213" t="s">
        <v>5</v>
      </c>
      <c r="G6" s="213" t="s">
        <v>6</v>
      </c>
      <c r="H6" s="185"/>
      <c r="I6" s="185"/>
      <c r="J6" s="193"/>
      <c r="O6" s="184" t="s">
        <v>434</v>
      </c>
      <c r="P6" s="202" t="s">
        <v>435</v>
      </c>
      <c r="T6" s="5" t="s">
        <v>422</v>
      </c>
      <c r="U6" s="226">
        <f>$W$51*$AA$42</f>
        <v>2725</v>
      </c>
      <c r="W6" s="5" t="s">
        <v>3</v>
      </c>
      <c r="X6" s="297">
        <f>AE35/AE35</f>
        <v>1</v>
      </c>
    </row>
    <row r="7" spans="1:25" ht="18" customHeight="1">
      <c r="B7" s="25"/>
      <c r="C7" s="183">
        <v>2.46</v>
      </c>
      <c r="D7" s="194">
        <v>1</v>
      </c>
      <c r="E7" s="183">
        <v>2.42</v>
      </c>
      <c r="F7" s="183">
        <v>2.4500000000000002</v>
      </c>
      <c r="G7" s="183">
        <v>2.1800000000000002</v>
      </c>
      <c r="H7" s="185"/>
      <c r="I7" s="185"/>
      <c r="J7" s="193"/>
      <c r="N7" s="215" t="s">
        <v>59</v>
      </c>
      <c r="O7" s="196">
        <v>32</v>
      </c>
      <c r="P7" s="192">
        <v>28</v>
      </c>
      <c r="T7" s="5" t="s">
        <v>423</v>
      </c>
      <c r="U7" s="226">
        <f>$W$52*$Z$42</f>
        <v>5614.583333333333</v>
      </c>
      <c r="W7" s="5" t="s">
        <v>4</v>
      </c>
      <c r="X7" s="297">
        <f>AE36/AE35</f>
        <v>1.9397446808510643</v>
      </c>
    </row>
    <row r="8" spans="1:25" ht="18" customHeight="1" thickBot="1">
      <c r="A8" s="2"/>
      <c r="C8" s="185"/>
      <c r="D8" s="185"/>
      <c r="E8" s="185"/>
      <c r="F8" s="185"/>
      <c r="G8" s="185"/>
      <c r="H8" s="185"/>
      <c r="I8" s="185"/>
      <c r="J8" s="193"/>
      <c r="N8" s="218" t="s">
        <v>657</v>
      </c>
      <c r="O8" s="196">
        <v>400000</v>
      </c>
      <c r="P8" s="196">
        <v>100000</v>
      </c>
      <c r="T8" s="5" t="s">
        <v>420</v>
      </c>
      <c r="U8" s="226">
        <f>$W$53*$X$42</f>
        <v>3571.4285714285716</v>
      </c>
      <c r="W8" s="5" t="s">
        <v>5</v>
      </c>
      <c r="X8" s="297">
        <f>AE37/AE35</f>
        <v>1.636492585428756</v>
      </c>
    </row>
    <row r="9" spans="1:25" ht="18" customHeight="1" thickBot="1">
      <c r="A9" s="187" t="s">
        <v>644</v>
      </c>
      <c r="C9" s="219" t="s">
        <v>646</v>
      </c>
      <c r="D9" s="219" t="s">
        <v>645</v>
      </c>
      <c r="E9" s="219" t="s">
        <v>647</v>
      </c>
      <c r="F9" s="219" t="s">
        <v>648</v>
      </c>
      <c r="G9" s="219" t="s">
        <v>649</v>
      </c>
      <c r="H9" s="185"/>
      <c r="I9" s="185"/>
      <c r="J9" s="193"/>
      <c r="N9" s="216" t="s">
        <v>654</v>
      </c>
      <c r="O9" s="224">
        <f>AP32</f>
        <v>88.159798680454386</v>
      </c>
      <c r="P9" s="225">
        <f>AP49</f>
        <v>127.252318170729</v>
      </c>
      <c r="T9" s="5" t="s">
        <v>424</v>
      </c>
      <c r="U9" s="226">
        <f>$W$54*$W$42</f>
        <v>7687.5</v>
      </c>
      <c r="W9" s="5" t="s">
        <v>6</v>
      </c>
      <c r="X9" s="297">
        <f>AE38/AE35</f>
        <v>1.292820116054159</v>
      </c>
    </row>
    <row r="10" spans="1:25" ht="18" customHeight="1">
      <c r="B10" s="12" t="s">
        <v>432</v>
      </c>
      <c r="C10" s="195">
        <v>60</v>
      </c>
      <c r="D10" s="195">
        <v>50</v>
      </c>
      <c r="E10" s="196">
        <v>70</v>
      </c>
      <c r="F10" s="197">
        <v>70</v>
      </c>
      <c r="G10" s="197">
        <v>60</v>
      </c>
      <c r="H10" s="185"/>
      <c r="I10" s="185"/>
      <c r="J10" s="193"/>
      <c r="T10" s="136" t="s">
        <v>425</v>
      </c>
      <c r="U10" s="226">
        <f>$W$55*$Y$42</f>
        <v>15125</v>
      </c>
    </row>
    <row r="11" spans="1:25" ht="18" customHeight="1">
      <c r="B11" s="12" t="s">
        <v>433</v>
      </c>
      <c r="C11" s="198">
        <v>60</v>
      </c>
      <c r="D11" s="198">
        <v>60</v>
      </c>
      <c r="E11" s="199">
        <v>60</v>
      </c>
      <c r="F11" s="200">
        <v>60</v>
      </c>
      <c r="G11" s="200">
        <v>60</v>
      </c>
      <c r="H11" s="185"/>
      <c r="I11" s="185"/>
      <c r="J11" s="193"/>
      <c r="T11" s="5" t="s">
        <v>426</v>
      </c>
      <c r="U11" s="226">
        <f>$W$56*$AA$42</f>
        <v>5450</v>
      </c>
    </row>
    <row r="12" spans="1:25" ht="18" customHeight="1">
      <c r="B12" s="316" t="s">
        <v>650</v>
      </c>
      <c r="C12" s="317"/>
      <c r="D12" s="317"/>
      <c r="E12" s="318"/>
      <c r="F12" s="319"/>
      <c r="G12" s="319"/>
      <c r="H12" s="185"/>
      <c r="I12" s="185"/>
      <c r="J12" s="193"/>
      <c r="T12" s="5" t="s">
        <v>427</v>
      </c>
      <c r="U12" s="226">
        <f>$W$57*$Z$42</f>
        <v>10208.333333333334</v>
      </c>
      <c r="W12" s="212" t="s">
        <v>431</v>
      </c>
      <c r="X12" s="25"/>
      <c r="Y12" s="25"/>
    </row>
    <row r="13" spans="1:25" ht="18" customHeight="1">
      <c r="B13" s="214" t="s">
        <v>651</v>
      </c>
      <c r="C13" s="184">
        <f>SUM(C10:C12)</f>
        <v>120</v>
      </c>
      <c r="D13" s="184">
        <f>SUM(D10:D12)</f>
        <v>110</v>
      </c>
      <c r="E13" s="184">
        <f>SUM(E10:E12)</f>
        <v>130</v>
      </c>
      <c r="F13" s="184">
        <f>SUM(F10:F12)</f>
        <v>130</v>
      </c>
      <c r="G13" s="184">
        <f>SUM(G10:G12)</f>
        <v>120</v>
      </c>
      <c r="H13" s="185"/>
      <c r="J13" s="193"/>
      <c r="N13" s="582" t="s">
        <v>689</v>
      </c>
      <c r="O13" s="582"/>
      <c r="T13" s="5" t="s">
        <v>428</v>
      </c>
      <c r="U13" s="226">
        <f>$W$58*$X$42</f>
        <v>6696.4285714285716</v>
      </c>
      <c r="W13" s="5"/>
      <c r="X13" s="5" t="s">
        <v>432</v>
      </c>
      <c r="Y13" s="73" t="s">
        <v>433</v>
      </c>
    </row>
    <row r="14" spans="1:25" ht="18" customHeight="1">
      <c r="B14" s="188"/>
      <c r="C14" s="201"/>
      <c r="D14" s="201"/>
      <c r="E14" s="201"/>
      <c r="F14" s="201"/>
      <c r="G14" s="201"/>
      <c r="H14" s="185"/>
      <c r="J14" s="193"/>
      <c r="N14" s="290" t="s">
        <v>432</v>
      </c>
      <c r="O14" s="290" t="s">
        <v>433</v>
      </c>
      <c r="T14" s="5" t="s">
        <v>429</v>
      </c>
      <c r="U14" s="226">
        <f>$W$59*$W$42</f>
        <v>13068.75</v>
      </c>
      <c r="W14" s="5" t="s">
        <v>2</v>
      </c>
      <c r="X14" s="229">
        <f>$C$31*($U$34+($AC$34-$AB$34)*$U$34)*6*168</f>
        <v>2848608.0000000014</v>
      </c>
      <c r="Y14" s="229">
        <f>$D$31*($U$34+($AC$34-$AB$34)*$U$34)*6*168</f>
        <v>2848608.0000000014</v>
      </c>
    </row>
    <row r="15" spans="1:25" ht="18" customHeight="1" thickBot="1">
      <c r="A15" s="187" t="s">
        <v>491</v>
      </c>
      <c r="C15" s="213" t="s">
        <v>12</v>
      </c>
      <c r="D15" s="213" t="s">
        <v>17</v>
      </c>
      <c r="E15" s="213" t="s">
        <v>18</v>
      </c>
      <c r="F15" s="371" t="s">
        <v>699</v>
      </c>
      <c r="G15" s="213" t="s">
        <v>19</v>
      </c>
      <c r="H15" s="372" t="s">
        <v>20</v>
      </c>
      <c r="J15" s="220" t="s">
        <v>465</v>
      </c>
      <c r="K15" s="295" t="s">
        <v>25</v>
      </c>
      <c r="M15" s="215" t="s">
        <v>484</v>
      </c>
      <c r="N15" s="183">
        <v>5</v>
      </c>
      <c r="O15" s="183">
        <v>6</v>
      </c>
      <c r="W15" s="5" t="s">
        <v>3</v>
      </c>
      <c r="X15" s="229">
        <f>$C$32*($U$35+($AC$35-$AB$35)*$U$35)*6*168</f>
        <v>3454920</v>
      </c>
      <c r="Y15" s="229">
        <f>$D$32*($U$35+($AC$35-$AB$35)*$U$35)*6*168</f>
        <v>4145904</v>
      </c>
    </row>
    <row r="16" spans="1:25" ht="18" customHeight="1" thickBot="1">
      <c r="B16" s="12" t="s">
        <v>643</v>
      </c>
      <c r="C16" s="196">
        <v>34</v>
      </c>
      <c r="D16" s="196">
        <v>32</v>
      </c>
      <c r="E16" s="196">
        <v>35</v>
      </c>
      <c r="F16" s="195">
        <v>34</v>
      </c>
      <c r="G16" s="196">
        <v>35</v>
      </c>
      <c r="H16" s="197">
        <v>35</v>
      </c>
      <c r="I16" s="12" t="s">
        <v>432</v>
      </c>
      <c r="J16" s="192">
        <v>15</v>
      </c>
      <c r="K16" s="205">
        <f>P100</f>
        <v>74.561517372866703</v>
      </c>
      <c r="M16" s="216" t="s">
        <v>485</v>
      </c>
      <c r="N16" s="183">
        <v>0</v>
      </c>
      <c r="O16" s="183">
        <v>0</v>
      </c>
      <c r="U16" t="s">
        <v>59</v>
      </c>
      <c r="W16" s="5" t="s">
        <v>4</v>
      </c>
      <c r="X16" s="229">
        <f>$C$33*($U$36+($AC$36-$AB$36)*$U$36)*6*168</f>
        <v>4047321.6</v>
      </c>
      <c r="Y16" s="229">
        <f>$D$33*($U$36+($AC$36-$AB$36)*$U$36)*6*168</f>
        <v>3469132.8000000003</v>
      </c>
    </row>
    <row r="17" spans="1:46" s="77" customFormat="1" ht="18" customHeight="1" thickBot="1">
      <c r="B17" s="218" t="s">
        <v>25</v>
      </c>
      <c r="C17" s="203">
        <f>P31</f>
        <v>27.947785427080237</v>
      </c>
      <c r="D17" s="204">
        <f>P39</f>
        <v>26.465328594687264</v>
      </c>
      <c r="E17" s="204">
        <f>P47</f>
        <v>28.640034888972824</v>
      </c>
      <c r="F17" s="369">
        <f>P71</f>
        <v>31.325474465285016</v>
      </c>
      <c r="G17" s="204">
        <f>P55</f>
        <v>25.063120370680625</v>
      </c>
      <c r="H17" s="370">
        <f>P63</f>
        <v>33.460943107738942</v>
      </c>
      <c r="I17" s="218" t="s">
        <v>433</v>
      </c>
      <c r="J17" s="291">
        <v>15</v>
      </c>
      <c r="K17" s="205">
        <f>P109</f>
        <v>74.787613973056466</v>
      </c>
      <c r="M17" s="215" t="s">
        <v>486</v>
      </c>
      <c r="N17" s="183">
        <v>5</v>
      </c>
      <c r="O17" s="183">
        <v>7</v>
      </c>
      <c r="T17" s="77" t="s">
        <v>500</v>
      </c>
      <c r="U17" s="183">
        <v>1</v>
      </c>
      <c r="W17" s="5" t="s">
        <v>5</v>
      </c>
      <c r="X17" s="229">
        <f>$C$34*($U$37+($AC$37-0)*$U$37)*6*168</f>
        <v>3655008.0000000005</v>
      </c>
      <c r="Y17" s="229">
        <f>$D$34*($U$37+($AC$37-0)*$U$37)*6*168</f>
        <v>3132864.0000000005</v>
      </c>
    </row>
    <row r="18" spans="1:46" ht="18" customHeight="1" thickBot="1">
      <c r="C18" s="185"/>
      <c r="D18" s="185"/>
      <c r="E18" s="185"/>
      <c r="F18" s="185"/>
      <c r="G18" s="185"/>
      <c r="H18" s="185"/>
      <c r="I18" s="185"/>
      <c r="J18" s="193"/>
      <c r="M18" s="215" t="s">
        <v>487</v>
      </c>
      <c r="N18" s="183">
        <v>5</v>
      </c>
      <c r="O18" s="183">
        <v>0</v>
      </c>
      <c r="T18" s="77" t="s">
        <v>692</v>
      </c>
      <c r="U18" s="196">
        <v>36</v>
      </c>
      <c r="W18" s="189" t="s">
        <v>6</v>
      </c>
      <c r="X18" s="230">
        <f>$C$35*($U$38+($AC$38-0)*$U$38)*6*168</f>
        <v>2781475.2</v>
      </c>
      <c r="Y18" s="230">
        <f>$D$35*($U$38+($AC$38-0)*$U$38)*6*168</f>
        <v>2781475.2</v>
      </c>
    </row>
    <row r="19" spans="1:46" ht="18" customHeight="1" thickBot="1">
      <c r="B19" s="213" t="s">
        <v>652</v>
      </c>
      <c r="D19" s="128" t="s">
        <v>29</v>
      </c>
      <c r="E19" s="114">
        <v>10</v>
      </c>
      <c r="F19" s="12" t="s">
        <v>468</v>
      </c>
      <c r="G19" s="192">
        <v>9</v>
      </c>
      <c r="H19" s="185"/>
      <c r="M19" s="215" t="s">
        <v>488</v>
      </c>
      <c r="N19" s="183">
        <v>5</v>
      </c>
      <c r="O19" s="183">
        <v>7</v>
      </c>
      <c r="T19" s="78" t="s">
        <v>693</v>
      </c>
      <c r="U19" s="299">
        <f>100/(100-$W$87)</f>
        <v>1.8518518518518519</v>
      </c>
      <c r="W19" s="66" t="s">
        <v>22</v>
      </c>
      <c r="X19" s="231">
        <f>X14*C7+D7*X15+X16*E7+F7*X17+X18*G7</f>
        <v>35275399.488000005</v>
      </c>
      <c r="Y19" s="231">
        <f>Y14*C7+D7*Y15+Y16*E7+F7*Y17+Y18*G7</f>
        <v>33287913.792000003</v>
      </c>
    </row>
    <row r="20" spans="1:46" ht="18" customHeight="1" thickBot="1">
      <c r="A20" s="12" t="s">
        <v>59</v>
      </c>
      <c r="B20" s="183">
        <v>23</v>
      </c>
      <c r="D20" s="185" t="s">
        <v>653</v>
      </c>
      <c r="E20" s="206">
        <f>IF(E19&gt;8,0.4,IF(E19&lt;3,0,E19^2/200))</f>
        <v>0.4</v>
      </c>
      <c r="F20" s="12" t="s">
        <v>25</v>
      </c>
      <c r="G20" s="205">
        <f>P79</f>
        <v>12.377705868827563</v>
      </c>
      <c r="I20" s="185"/>
      <c r="J20" s="68" t="s">
        <v>727</v>
      </c>
      <c r="K20" s="193"/>
    </row>
    <row r="21" spans="1:46" ht="18.75" customHeight="1">
      <c r="A21" s="2"/>
      <c r="I21" s="12" t="s">
        <v>432</v>
      </c>
      <c r="J21" s="296">
        <v>6</v>
      </c>
      <c r="K21" s="193"/>
    </row>
    <row r="22" spans="1:46" ht="18" customHeight="1">
      <c r="A22" s="209"/>
      <c r="B22" s="25"/>
      <c r="C22" s="25"/>
      <c r="D22" s="25"/>
      <c r="E22" s="25"/>
      <c r="F22" s="25"/>
      <c r="G22" s="25"/>
      <c r="I22" s="12" t="s">
        <v>433</v>
      </c>
      <c r="J22" s="296">
        <v>6</v>
      </c>
      <c r="K22" s="118"/>
      <c r="L22" s="118"/>
      <c r="M22" s="118"/>
      <c r="N22" s="118"/>
      <c r="O22" s="118"/>
      <c r="P22" s="118"/>
      <c r="Q22" s="25"/>
    </row>
    <row r="23" spans="1:46" ht="18" customHeight="1">
      <c r="A23" s="209"/>
      <c r="B23" s="25"/>
      <c r="C23" s="25"/>
      <c r="D23" s="25"/>
      <c r="E23" s="25"/>
      <c r="H23" s="12"/>
      <c r="I23" s="295"/>
      <c r="J23" s="118"/>
      <c r="K23" s="118"/>
      <c r="L23" s="118"/>
      <c r="M23" s="118"/>
      <c r="N23" s="118"/>
      <c r="O23" s="118"/>
      <c r="P23" s="118"/>
      <c r="Q23" s="25"/>
    </row>
    <row r="24" spans="1:46" ht="18" customHeight="1">
      <c r="A24" s="209"/>
      <c r="B24" s="25"/>
      <c r="C24" s="25"/>
      <c r="D24" s="25"/>
      <c r="E24" s="25"/>
      <c r="H24" s="12"/>
      <c r="I24" s="295"/>
      <c r="J24" s="118"/>
      <c r="K24" s="118"/>
      <c r="L24" s="118"/>
      <c r="M24" s="118"/>
      <c r="N24" s="118"/>
      <c r="O24" s="118"/>
      <c r="P24" s="118"/>
      <c r="Q24" s="25"/>
    </row>
    <row r="25" spans="1:46" ht="17.25" hidden="1" customHeight="1">
      <c r="A25" s="209"/>
      <c r="B25" s="25"/>
      <c r="C25" s="25"/>
      <c r="D25" s="25"/>
      <c r="E25" s="25"/>
      <c r="H25" s="12"/>
      <c r="I25" s="295"/>
      <c r="J25" s="118"/>
      <c r="K25" s="118"/>
      <c r="L25" s="118"/>
      <c r="M25" s="118"/>
      <c r="N25" s="118"/>
      <c r="O25" s="118"/>
      <c r="P25" s="118"/>
      <c r="Q25" s="25"/>
    </row>
    <row r="26" spans="1:46" ht="15.75" hidden="1" thickBot="1">
      <c r="A26" s="25"/>
      <c r="B26" s="25"/>
      <c r="C26" s="25"/>
      <c r="D26" s="25"/>
      <c r="E26" s="25"/>
      <c r="F26" s="25"/>
      <c r="G26" s="25"/>
      <c r="H26" s="25"/>
      <c r="I26" s="25"/>
      <c r="J26" s="118"/>
      <c r="K26" s="118"/>
      <c r="L26" s="118"/>
      <c r="M26" s="118"/>
      <c r="N26" s="118"/>
      <c r="O26" s="118"/>
      <c r="P26" s="118"/>
      <c r="Q26" s="25"/>
    </row>
    <row r="27" spans="1:46" ht="19.5" hidden="1" thickBot="1">
      <c r="A27" s="25"/>
      <c r="B27" s="25"/>
      <c r="C27" s="25"/>
      <c r="D27" s="25"/>
      <c r="E27" s="25"/>
      <c r="F27" s="25"/>
      <c r="G27" s="25"/>
      <c r="H27" s="25"/>
      <c r="I27" s="25"/>
      <c r="J27" s="118"/>
      <c r="K27" s="118"/>
      <c r="L27" s="118"/>
      <c r="M27" s="118"/>
      <c r="N27" s="118"/>
      <c r="O27" s="118"/>
      <c r="P27" s="118"/>
      <c r="Q27" s="25"/>
      <c r="S27" s="119"/>
      <c r="T27" s="131" t="s">
        <v>407</v>
      </c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44"/>
    </row>
    <row r="28" spans="1:46" ht="21" hidden="1">
      <c r="A28" s="119"/>
      <c r="B28" s="120"/>
      <c r="C28" s="120"/>
      <c r="D28" s="120"/>
      <c r="E28" s="120"/>
      <c r="F28" s="120"/>
      <c r="G28" s="120"/>
      <c r="H28" s="120"/>
      <c r="I28" s="120"/>
      <c r="J28" s="121"/>
      <c r="K28" s="121"/>
      <c r="L28" s="121"/>
      <c r="M28" s="121"/>
      <c r="N28" s="121"/>
      <c r="O28" s="121"/>
      <c r="P28" s="121"/>
      <c r="Q28" s="44"/>
      <c r="S28" s="24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6"/>
      <c r="AH28" s="119"/>
      <c r="AI28" s="132" t="s">
        <v>655</v>
      </c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44"/>
    </row>
    <row r="29" spans="1:46" ht="15" hidden="1" customHeight="1">
      <c r="A29" s="122" t="s">
        <v>12</v>
      </c>
      <c r="B29" s="25"/>
      <c r="C29" s="25"/>
      <c r="D29" s="25"/>
      <c r="E29" s="25"/>
      <c r="F29" s="25"/>
      <c r="G29" s="25"/>
      <c r="H29" s="25"/>
      <c r="I29" s="25"/>
      <c r="J29" s="118"/>
      <c r="K29" s="118"/>
      <c r="L29" s="118"/>
      <c r="M29" s="558" t="s">
        <v>22</v>
      </c>
      <c r="N29" s="558"/>
      <c r="O29" s="558"/>
      <c r="P29" s="558"/>
      <c r="Q29" s="26"/>
      <c r="S29" s="24"/>
      <c r="T29" s="25"/>
      <c r="U29" s="5"/>
      <c r="V29" s="5" t="s">
        <v>410</v>
      </c>
      <c r="W29" s="5" t="s">
        <v>411</v>
      </c>
      <c r="X29" s="5" t="s">
        <v>409</v>
      </c>
      <c r="Y29" s="5" t="s">
        <v>412</v>
      </c>
      <c r="Z29" s="5" t="s">
        <v>413</v>
      </c>
      <c r="AA29" s="5" t="s">
        <v>414</v>
      </c>
      <c r="AB29" s="320" t="s">
        <v>409</v>
      </c>
      <c r="AC29" s="25"/>
      <c r="AD29" s="25"/>
      <c r="AE29" s="25"/>
      <c r="AF29" s="26"/>
      <c r="AH29" s="24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6"/>
    </row>
    <row r="30" spans="1:46" ht="45" hidden="1">
      <c r="A30" s="129" t="s">
        <v>1</v>
      </c>
      <c r="B30" s="130" t="s">
        <v>7</v>
      </c>
      <c r="C30" s="3" t="s">
        <v>8</v>
      </c>
      <c r="D30" s="3" t="s">
        <v>9</v>
      </c>
      <c r="E30" s="314" t="s">
        <v>27</v>
      </c>
      <c r="F30" s="3" t="s">
        <v>10</v>
      </c>
      <c r="G30" s="3" t="s">
        <v>11</v>
      </c>
      <c r="H30" s="3" t="s">
        <v>14</v>
      </c>
      <c r="I30" s="3" t="s">
        <v>13</v>
      </c>
      <c r="J30" s="9" t="s">
        <v>15</v>
      </c>
      <c r="K30" s="9" t="s">
        <v>16</v>
      </c>
      <c r="L30" s="118"/>
      <c r="M30" s="9" t="s">
        <v>23</v>
      </c>
      <c r="N30" s="9" t="s">
        <v>24</v>
      </c>
      <c r="O30" s="9" t="s">
        <v>15</v>
      </c>
      <c r="P30" s="9" t="s">
        <v>25</v>
      </c>
      <c r="Q30" s="26"/>
      <c r="S30" s="24"/>
      <c r="T30" s="25"/>
      <c r="U30" s="5" t="s">
        <v>59</v>
      </c>
      <c r="V30" s="6">
        <f>C16</f>
        <v>34</v>
      </c>
      <c r="W30" s="6">
        <f>D16</f>
        <v>32</v>
      </c>
      <c r="X30" s="6">
        <f>E16</f>
        <v>35</v>
      </c>
      <c r="Y30" s="6">
        <f>G16</f>
        <v>35</v>
      </c>
      <c r="Z30" s="6">
        <f>H16</f>
        <v>35</v>
      </c>
      <c r="AA30" s="190">
        <f>G19</f>
        <v>9</v>
      </c>
      <c r="AB30" s="320">
        <f>F16</f>
        <v>34</v>
      </c>
      <c r="AC30" s="25"/>
      <c r="AD30" s="25"/>
      <c r="AE30" s="25"/>
      <c r="AF30" s="26"/>
      <c r="AH30" s="24"/>
      <c r="AI30" s="5"/>
      <c r="AJ30" s="115" t="s">
        <v>470</v>
      </c>
      <c r="AK30" s="115" t="s">
        <v>472</v>
      </c>
      <c r="AL30" s="115" t="s">
        <v>473</v>
      </c>
      <c r="AM30" s="115" t="s">
        <v>471</v>
      </c>
      <c r="AN30" s="115" t="s">
        <v>474</v>
      </c>
      <c r="AO30" s="115" t="s">
        <v>478</v>
      </c>
      <c r="AP30" s="115" t="s">
        <v>477</v>
      </c>
      <c r="AQ30" s="25"/>
      <c r="AR30" s="25"/>
      <c r="AS30" s="25"/>
      <c r="AT30" s="26"/>
    </row>
    <row r="31" spans="1:46" hidden="1">
      <c r="A31" s="24" t="s">
        <v>2</v>
      </c>
      <c r="B31" s="25">
        <v>10</v>
      </c>
      <c r="C31" s="6">
        <f>$C$10</f>
        <v>60</v>
      </c>
      <c r="D31" s="6">
        <f>$C$11</f>
        <v>60</v>
      </c>
      <c r="E31" s="315">
        <f>$C$12</f>
        <v>0</v>
      </c>
      <c r="F31" s="5">
        <f>C31+D31+E31</f>
        <v>120</v>
      </c>
      <c r="G31" s="5">
        <v>7.0000000000000007E-2</v>
      </c>
      <c r="H31" s="5">
        <f>B31*F31*G31</f>
        <v>84.000000000000014</v>
      </c>
      <c r="I31" s="190">
        <f>B120*1.33^($C$16)/(1.6^($B$20/2))</f>
        <v>55512.346413699983</v>
      </c>
      <c r="J31" s="10">
        <f>I31/H31</f>
        <v>660.86126682976158</v>
      </c>
      <c r="K31" s="10">
        <f>J31*10/60/24</f>
        <v>4.5893143529844549</v>
      </c>
      <c r="L31" s="118"/>
      <c r="M31" s="559">
        <f>I31*$C$7+$D$7*I32+$E$7*I33+$F$7*I34+$G$7*I35</f>
        <v>831618.77481386822</v>
      </c>
      <c r="N31" s="556">
        <f>$C$7*H31+$D$7*H32+$E$7*H33+$F$7*H34+$G$7*H35</f>
        <v>206.64000000000004</v>
      </c>
      <c r="O31" s="556">
        <f>M31/N31</f>
        <v>4024.4811014995548</v>
      </c>
      <c r="P31" s="557">
        <f>O31*10/60/24</f>
        <v>27.947785427080237</v>
      </c>
      <c r="Q31" s="26"/>
      <c r="S31" s="24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6"/>
      <c r="AH31" s="24"/>
      <c r="AI31" s="5"/>
      <c r="AJ31" s="115"/>
      <c r="AK31" s="115"/>
      <c r="AL31" s="115"/>
      <c r="AM31" s="115"/>
      <c r="AN31" s="115"/>
      <c r="AO31" s="115"/>
      <c r="AP31" s="115"/>
      <c r="AQ31" s="25"/>
      <c r="AR31" s="25"/>
      <c r="AS31" s="25"/>
      <c r="AT31" s="26"/>
    </row>
    <row r="32" spans="1:46" hidden="1">
      <c r="A32" s="24" t="s">
        <v>3</v>
      </c>
      <c r="B32" s="25">
        <v>15</v>
      </c>
      <c r="C32" s="6">
        <f>$D$10</f>
        <v>50</v>
      </c>
      <c r="D32" s="6">
        <f>$D$11</f>
        <v>60</v>
      </c>
      <c r="E32" s="315">
        <f>$D$12</f>
        <v>0</v>
      </c>
      <c r="F32" s="5">
        <f>C32+D32+E32</f>
        <v>110</v>
      </c>
      <c r="G32" s="5"/>
      <c r="H32" s="5">
        <f>B32*F32*G32</f>
        <v>0</v>
      </c>
      <c r="I32" s="190">
        <f>C120*1.33^($C$16)/(1.6^($B$20/2))</f>
        <v>35790.854924622363</v>
      </c>
      <c r="J32" s="10" t="e">
        <f>I32/H32</f>
        <v>#DIV/0!</v>
      </c>
      <c r="K32" s="10" t="e">
        <f>J32*10/60/24</f>
        <v>#DIV/0!</v>
      </c>
      <c r="L32" s="118"/>
      <c r="M32" s="559"/>
      <c r="N32" s="556"/>
      <c r="O32" s="556"/>
      <c r="P32" s="557"/>
      <c r="Q32" s="26"/>
      <c r="S32" s="24"/>
      <c r="T32" s="5"/>
      <c r="U32" s="5"/>
      <c r="V32" s="207" t="s">
        <v>11</v>
      </c>
      <c r="W32" s="74"/>
      <c r="X32" s="74"/>
      <c r="Y32" s="74"/>
      <c r="Z32" s="74"/>
      <c r="AA32" s="208"/>
      <c r="AB32" s="184"/>
      <c r="AC32" s="5"/>
      <c r="AD32" s="561" t="s">
        <v>416</v>
      </c>
      <c r="AE32" s="5"/>
      <c r="AF32" s="26"/>
      <c r="AH32" s="24"/>
      <c r="AI32" s="5" t="s">
        <v>2</v>
      </c>
      <c r="AJ32" s="190">
        <f>B129*1.33^($O$7)/(1.6^($B$20/2))</f>
        <v>57809.704052756526</v>
      </c>
      <c r="AK32" s="575">
        <f>220/(O7+17)</f>
        <v>4.4897959183673466</v>
      </c>
      <c r="AL32" s="575">
        <f>220/((O7+1)+17)</f>
        <v>4.4000000000000004</v>
      </c>
      <c r="AM32" s="572">
        <f>(AK32-AL32)/AK32</f>
        <v>1.9999999999999844E-2</v>
      </c>
      <c r="AN32" s="580">
        <f>O8</f>
        <v>400000</v>
      </c>
      <c r="AO32" s="569">
        <f>AM32*AN32</f>
        <v>7999.9999999999382</v>
      </c>
      <c r="AP32" s="566">
        <f>AJ37/AO32</f>
        <v>88.159798680454386</v>
      </c>
      <c r="AQ32" s="25"/>
      <c r="AR32" s="25"/>
      <c r="AS32" s="25"/>
      <c r="AT32" s="26"/>
    </row>
    <row r="33" spans="1:46" hidden="1">
      <c r="A33" s="24" t="s">
        <v>4</v>
      </c>
      <c r="B33" s="25">
        <v>12</v>
      </c>
      <c r="C33" s="6">
        <f>$E$10</f>
        <v>70</v>
      </c>
      <c r="D33" s="6">
        <f>$E$11</f>
        <v>60</v>
      </c>
      <c r="E33" s="315">
        <f>$E$12</f>
        <v>0</v>
      </c>
      <c r="F33" s="5">
        <f>C33+D33+E33</f>
        <v>130</v>
      </c>
      <c r="G33" s="5"/>
      <c r="H33" s="5">
        <f>B33*F33*G33</f>
        <v>0</v>
      </c>
      <c r="I33" s="190">
        <f>D120*1.33^($C$16)/(1.6^($B$20/2))</f>
        <v>84729.370841963144</v>
      </c>
      <c r="J33" s="10" t="e">
        <f>I33/H33</f>
        <v>#DIV/0!</v>
      </c>
      <c r="K33" s="10" t="e">
        <f>J33*10/60/24</f>
        <v>#DIV/0!</v>
      </c>
      <c r="L33" s="118"/>
      <c r="M33" s="559"/>
      <c r="N33" s="556"/>
      <c r="O33" s="556"/>
      <c r="P33" s="557"/>
      <c r="Q33" s="26"/>
      <c r="S33" s="24"/>
      <c r="T33" s="134" t="s">
        <v>408</v>
      </c>
      <c r="U33" s="134" t="s">
        <v>7</v>
      </c>
      <c r="V33" s="134" t="s">
        <v>410</v>
      </c>
      <c r="W33" s="134" t="s">
        <v>411</v>
      </c>
      <c r="X33" s="134" t="s">
        <v>409</v>
      </c>
      <c r="Y33" s="134" t="s">
        <v>412</v>
      </c>
      <c r="Z33" s="134" t="s">
        <v>413</v>
      </c>
      <c r="AA33" s="134" t="s">
        <v>414</v>
      </c>
      <c r="AB33" s="134" t="s">
        <v>417</v>
      </c>
      <c r="AC33" s="134" t="s">
        <v>415</v>
      </c>
      <c r="AD33" s="562"/>
      <c r="AE33" s="134" t="s">
        <v>22</v>
      </c>
      <c r="AF33" s="26"/>
      <c r="AH33" s="24"/>
      <c r="AI33" s="5" t="s">
        <v>3</v>
      </c>
      <c r="AJ33" s="190">
        <f>C129*1.33^($O$7)/(1.6^($B$20/2))</f>
        <v>61938.968627953422</v>
      </c>
      <c r="AK33" s="576"/>
      <c r="AL33" s="576"/>
      <c r="AM33" s="573"/>
      <c r="AN33" s="581"/>
      <c r="AO33" s="570"/>
      <c r="AP33" s="567"/>
      <c r="AQ33" s="25"/>
      <c r="AR33" s="25"/>
      <c r="AS33" s="25"/>
      <c r="AT33" s="26"/>
    </row>
    <row r="34" spans="1:46" hidden="1">
      <c r="A34" s="24" t="s">
        <v>5</v>
      </c>
      <c r="B34" s="25">
        <v>10</v>
      </c>
      <c r="C34" s="6">
        <f>$F$10</f>
        <v>70</v>
      </c>
      <c r="D34" s="6">
        <f>$F$11</f>
        <v>60</v>
      </c>
      <c r="E34" s="315">
        <f>$F$12</f>
        <v>0</v>
      </c>
      <c r="F34" s="5">
        <f>C34+D34+E34</f>
        <v>130</v>
      </c>
      <c r="G34" s="5"/>
      <c r="H34" s="5">
        <f>B34*F34*G34</f>
        <v>0</v>
      </c>
      <c r="I34" s="190">
        <f>E120*1.33^($C$16)/(1.6^($B$20/2))</f>
        <v>154850.22946979469</v>
      </c>
      <c r="J34" s="10" t="e">
        <f>I34/H34</f>
        <v>#DIV/0!</v>
      </c>
      <c r="K34" s="10" t="e">
        <f>J34*10/60/24</f>
        <v>#DIV/0!</v>
      </c>
      <c r="L34" s="118"/>
      <c r="M34" s="559"/>
      <c r="N34" s="556"/>
      <c r="O34" s="556"/>
      <c r="P34" s="557"/>
      <c r="Q34" s="26"/>
      <c r="S34" s="24"/>
      <c r="T34" s="5" t="s">
        <v>2</v>
      </c>
      <c r="U34" s="5">
        <v>10</v>
      </c>
      <c r="V34" s="138">
        <f>V30*0.07</f>
        <v>2.3800000000000003</v>
      </c>
      <c r="W34" s="138"/>
      <c r="X34" s="138"/>
      <c r="Y34" s="138">
        <f>Y30*0.02</f>
        <v>0.70000000000000007</v>
      </c>
      <c r="Z34" s="138"/>
      <c r="AA34" s="138">
        <f>AA30*0.07</f>
        <v>0.63000000000000012</v>
      </c>
      <c r="AB34" s="138">
        <v>0.4</v>
      </c>
      <c r="AC34" s="139">
        <f>V34+W34+X34+Y34+Z34+AA34+AB34</f>
        <v>4.1100000000000012</v>
      </c>
      <c r="AD34" s="10">
        <f>U34+(U34*AC34)</f>
        <v>51.100000000000009</v>
      </c>
      <c r="AE34" s="140">
        <f>AD34*C7</f>
        <v>125.70600000000002</v>
      </c>
      <c r="AF34" s="26"/>
      <c r="AH34" s="24"/>
      <c r="AI34" s="5" t="s">
        <v>4</v>
      </c>
      <c r="AJ34" s="190">
        <f>D129*1.33^($O$7)/(1.6^($B$20/2))</f>
        <v>90843.820654331692</v>
      </c>
      <c r="AK34" s="576"/>
      <c r="AL34" s="576"/>
      <c r="AM34" s="573"/>
      <c r="AN34" s="221" t="s">
        <v>475</v>
      </c>
      <c r="AO34" s="570"/>
      <c r="AP34" s="567"/>
      <c r="AQ34" s="25"/>
      <c r="AR34" s="25"/>
      <c r="AS34" s="25"/>
      <c r="AT34" s="26"/>
    </row>
    <row r="35" spans="1:46" hidden="1">
      <c r="A35" s="24" t="s">
        <v>6</v>
      </c>
      <c r="B35" s="25">
        <v>9</v>
      </c>
      <c r="C35" s="6">
        <f>$G$10</f>
        <v>60</v>
      </c>
      <c r="D35" s="6">
        <f>$G$11</f>
        <v>60</v>
      </c>
      <c r="E35" s="315">
        <f>$G$12</f>
        <v>0</v>
      </c>
      <c r="F35" s="5">
        <f>C35+D35+E35</f>
        <v>120</v>
      </c>
      <c r="G35" s="5"/>
      <c r="H35" s="5">
        <f>B35*F35*G35</f>
        <v>0</v>
      </c>
      <c r="I35" s="190">
        <f>F120*1.33^($C$16)/(1.6^($B$20/2))</f>
        <v>34330.0037032092</v>
      </c>
      <c r="J35" s="10" t="e">
        <f>I35/H35</f>
        <v>#DIV/0!</v>
      </c>
      <c r="K35" s="10" t="e">
        <f>J35*10/60/24</f>
        <v>#DIV/0!</v>
      </c>
      <c r="L35" s="118"/>
      <c r="M35" s="559"/>
      <c r="N35" s="556"/>
      <c r="O35" s="556"/>
      <c r="P35" s="557"/>
      <c r="Q35" s="26"/>
      <c r="S35" s="24"/>
      <c r="T35" s="5" t="s">
        <v>3</v>
      </c>
      <c r="U35" s="5">
        <v>15</v>
      </c>
      <c r="V35" s="138"/>
      <c r="W35" s="138">
        <f>W30*0.07</f>
        <v>2.2400000000000002</v>
      </c>
      <c r="X35" s="138"/>
      <c r="Y35" s="138">
        <f>Y30*0.02</f>
        <v>0.70000000000000007</v>
      </c>
      <c r="Z35" s="138"/>
      <c r="AA35" s="138">
        <f>AA30*0.07</f>
        <v>0.63000000000000012</v>
      </c>
      <c r="AB35" s="138">
        <v>0.6</v>
      </c>
      <c r="AC35" s="139">
        <f>V35+W35+X35+Y35+Z35+AA35+AB35</f>
        <v>4.17</v>
      </c>
      <c r="AD35" s="10">
        <f>U35+(U35*AC35)</f>
        <v>77.55</v>
      </c>
      <c r="AE35" s="140">
        <f>AD35*D7</f>
        <v>77.55</v>
      </c>
      <c r="AF35" s="26"/>
      <c r="AH35" s="24"/>
      <c r="AI35" s="5" t="s">
        <v>5</v>
      </c>
      <c r="AJ35" s="190">
        <f>E129*1.33^($O$7)/(1.6^($B$20/2))</f>
        <v>8258.5291503937897</v>
      </c>
      <c r="AK35" s="576"/>
      <c r="AL35" s="576"/>
      <c r="AM35" s="573"/>
      <c r="AN35" s="6" t="s">
        <v>476</v>
      </c>
      <c r="AO35" s="570"/>
      <c r="AP35" s="567"/>
      <c r="AQ35" s="25"/>
      <c r="AR35" s="25"/>
      <c r="AS35" s="25"/>
      <c r="AT35" s="26"/>
    </row>
    <row r="36" spans="1:46" hidden="1">
      <c r="A36" s="24"/>
      <c r="B36" s="25"/>
      <c r="C36" s="25"/>
      <c r="D36" s="25"/>
      <c r="E36" s="239"/>
      <c r="F36" s="25"/>
      <c r="G36" s="25"/>
      <c r="H36" s="25"/>
      <c r="I36" s="25"/>
      <c r="J36" s="118"/>
      <c r="K36" s="118"/>
      <c r="L36" s="118"/>
      <c r="M36" s="118"/>
      <c r="N36" s="118"/>
      <c r="O36" s="118"/>
      <c r="P36" s="118"/>
      <c r="Q36" s="26"/>
      <c r="S36" s="24"/>
      <c r="T36" s="5" t="s">
        <v>4</v>
      </c>
      <c r="U36" s="5">
        <v>12</v>
      </c>
      <c r="V36" s="138"/>
      <c r="W36" s="138"/>
      <c r="X36" s="138">
        <f>X30*0.07</f>
        <v>2.4500000000000002</v>
      </c>
      <c r="Y36" s="138">
        <f>Y30*0.02</f>
        <v>0.70000000000000007</v>
      </c>
      <c r="Z36" s="138"/>
      <c r="AA36" s="138">
        <f>AA30*0.07</f>
        <v>0.63000000000000012</v>
      </c>
      <c r="AB36" s="138">
        <v>0.4</v>
      </c>
      <c r="AC36" s="139">
        <f>V36+W36+X36+Y36+Z36+AA36+AB36</f>
        <v>4.1800000000000006</v>
      </c>
      <c r="AD36" s="10">
        <f>U36+(U36*AC36)</f>
        <v>62.160000000000011</v>
      </c>
      <c r="AE36" s="140">
        <f>AD36*E7</f>
        <v>150.42720000000003</v>
      </c>
      <c r="AF36" s="26"/>
      <c r="AH36" s="24"/>
      <c r="AI36" s="5" t="s">
        <v>6</v>
      </c>
      <c r="AJ36" s="190">
        <f>F129*1.33^($O$7)/(1.6^($B$20/2))</f>
        <v>119748.67268070995</v>
      </c>
      <c r="AK36" s="577"/>
      <c r="AL36" s="577"/>
      <c r="AM36" s="574"/>
      <c r="AN36" s="222">
        <f>P8</f>
        <v>100000</v>
      </c>
      <c r="AO36" s="571"/>
      <c r="AP36" s="568"/>
      <c r="AQ36" s="25"/>
      <c r="AR36" s="25"/>
      <c r="AS36" s="25"/>
      <c r="AT36" s="26"/>
    </row>
    <row r="37" spans="1:46" hidden="1">
      <c r="A37" s="122" t="s">
        <v>17</v>
      </c>
      <c r="B37" s="25"/>
      <c r="C37" s="25"/>
      <c r="D37" s="25"/>
      <c r="E37" s="239"/>
      <c r="F37" s="25"/>
      <c r="G37" s="25"/>
      <c r="H37" s="25"/>
      <c r="I37" s="25"/>
      <c r="J37" s="118"/>
      <c r="K37" s="118"/>
      <c r="L37" s="118"/>
      <c r="M37" s="558" t="s">
        <v>22</v>
      </c>
      <c r="N37" s="558"/>
      <c r="O37" s="558"/>
      <c r="P37" s="558"/>
      <c r="Q37" s="26"/>
      <c r="S37" s="24"/>
      <c r="T37" s="5" t="s">
        <v>5</v>
      </c>
      <c r="U37" s="5">
        <v>10</v>
      </c>
      <c r="V37" s="138"/>
      <c r="W37" s="138"/>
      <c r="X37" s="138"/>
      <c r="Y37" s="138">
        <f>Y30*0.02</f>
        <v>0.70000000000000007</v>
      </c>
      <c r="Z37" s="138">
        <f>Z30*0.07</f>
        <v>2.4500000000000002</v>
      </c>
      <c r="AA37" s="138">
        <f>AA30*0.07</f>
        <v>0.63000000000000012</v>
      </c>
      <c r="AB37" s="138">
        <v>0.4</v>
      </c>
      <c r="AC37" s="139">
        <f>V37+W37+X37+Y37+Z37+AA37+AB37</f>
        <v>4.1800000000000006</v>
      </c>
      <c r="AD37" s="10">
        <f>U37+(U37*AC37)</f>
        <v>51.800000000000004</v>
      </c>
      <c r="AE37" s="140">
        <f>AD37*F7</f>
        <v>126.91000000000003</v>
      </c>
      <c r="AF37" s="26"/>
      <c r="AH37" s="24"/>
      <c r="AI37" s="5" t="s">
        <v>22</v>
      </c>
      <c r="AJ37" s="116">
        <f>AJ32*C7+AJ33*D7+E7*AJ34+AJ35*F7+G7*AJ36</f>
        <v>705278.38944362965</v>
      </c>
      <c r="AK37" s="25"/>
      <c r="AL37" s="25"/>
      <c r="AM37" s="25"/>
      <c r="AN37" s="25"/>
      <c r="AO37" s="25"/>
      <c r="AP37" s="25"/>
      <c r="AQ37" s="25"/>
      <c r="AR37" s="25"/>
      <c r="AS37" s="25"/>
      <c r="AT37" s="26"/>
    </row>
    <row r="38" spans="1:46" hidden="1">
      <c r="A38" s="129" t="s">
        <v>1</v>
      </c>
      <c r="B38" s="130" t="s">
        <v>7</v>
      </c>
      <c r="C38" s="3" t="s">
        <v>8</v>
      </c>
      <c r="D38" s="3" t="s">
        <v>9</v>
      </c>
      <c r="E38" s="314" t="s">
        <v>27</v>
      </c>
      <c r="F38" s="3" t="s">
        <v>10</v>
      </c>
      <c r="G38" s="3" t="s">
        <v>11</v>
      </c>
      <c r="H38" s="3" t="s">
        <v>14</v>
      </c>
      <c r="I38" s="3" t="s">
        <v>13</v>
      </c>
      <c r="J38" s="9" t="s">
        <v>15</v>
      </c>
      <c r="K38" s="9" t="s">
        <v>16</v>
      </c>
      <c r="L38" s="118"/>
      <c r="M38" s="9" t="s">
        <v>23</v>
      </c>
      <c r="N38" s="9" t="s">
        <v>24</v>
      </c>
      <c r="O38" s="9" t="s">
        <v>15</v>
      </c>
      <c r="P38" s="9" t="s">
        <v>25</v>
      </c>
      <c r="Q38" s="26"/>
      <c r="S38" s="24"/>
      <c r="T38" s="5" t="s">
        <v>6</v>
      </c>
      <c r="U38" s="5">
        <v>9</v>
      </c>
      <c r="V38" s="138"/>
      <c r="W38" s="138"/>
      <c r="X38" s="138"/>
      <c r="Y38" s="138">
        <f>Y30*0.02</f>
        <v>0.70000000000000007</v>
      </c>
      <c r="Z38" s="138">
        <f>AB30*0.07</f>
        <v>2.3800000000000003</v>
      </c>
      <c r="AA38" s="138">
        <f>AA30*0.07</f>
        <v>0.63000000000000012</v>
      </c>
      <c r="AB38" s="138">
        <v>0.4</v>
      </c>
      <c r="AC38" s="139">
        <f>V38+W38+X38+Y38+Z38+AA38+AB38</f>
        <v>4.1100000000000012</v>
      </c>
      <c r="AD38" s="10">
        <f>U38+(U38*AC38)</f>
        <v>45.990000000000009</v>
      </c>
      <c r="AE38" s="140">
        <f>AD38*G7</f>
        <v>100.25820000000003</v>
      </c>
      <c r="AF38" s="26"/>
      <c r="AH38" s="24"/>
      <c r="AK38" s="25"/>
      <c r="AL38" s="25"/>
      <c r="AM38" s="25"/>
      <c r="AN38" s="25"/>
      <c r="AO38" s="25"/>
      <c r="AP38" s="25"/>
      <c r="AQ38" s="25"/>
      <c r="AR38" s="25"/>
      <c r="AS38" s="25"/>
      <c r="AT38" s="26"/>
    </row>
    <row r="39" spans="1:46" hidden="1">
      <c r="A39" s="24" t="s">
        <v>2</v>
      </c>
      <c r="B39" s="25">
        <v>10</v>
      </c>
      <c r="C39" s="6">
        <f>$C$10</f>
        <v>60</v>
      </c>
      <c r="D39" s="6">
        <f>$C$11</f>
        <v>60</v>
      </c>
      <c r="E39" s="315">
        <f>$C$12</f>
        <v>0</v>
      </c>
      <c r="F39" s="5">
        <f>C39+D39+E39</f>
        <v>120</v>
      </c>
      <c r="G39" s="5"/>
      <c r="H39" s="5">
        <f>B39*F39*G39</f>
        <v>0</v>
      </c>
      <c r="I39" s="190">
        <f>B121*1.33^($D$16)/(1.6^($B$20/2))</f>
        <v>42944.351582047704</v>
      </c>
      <c r="J39" s="10" t="e">
        <f>I39/H39</f>
        <v>#DIV/0!</v>
      </c>
      <c r="K39" s="10" t="e">
        <f>J39*10/60/24</f>
        <v>#DIV/0!</v>
      </c>
      <c r="L39" s="118"/>
      <c r="M39" s="559">
        <f>I39*$C$7+$D$7*I40+$E$7*I41+$F$7*I42+$G$7*I43</f>
        <v>440171.34518683865</v>
      </c>
      <c r="N39" s="556">
        <f>$C$7*H39+$D$7*H40+$E$7*H41+$F$7*H42+$G$7*H43</f>
        <v>115.50000000000001</v>
      </c>
      <c r="O39" s="556">
        <f>M39/N39</f>
        <v>3811.0073176349661</v>
      </c>
      <c r="P39" s="560">
        <f>O39*10/60/24</f>
        <v>26.465328594687264</v>
      </c>
      <c r="Q39" s="26"/>
      <c r="S39" s="24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6"/>
      <c r="AH39" s="24"/>
      <c r="AI39" s="78"/>
      <c r="AJ39" s="78"/>
      <c r="AK39" s="25"/>
      <c r="AL39" s="25"/>
      <c r="AM39" s="25"/>
      <c r="AN39" s="25"/>
      <c r="AO39" s="25"/>
      <c r="AP39" s="25"/>
      <c r="AQ39" s="25"/>
      <c r="AR39" s="25"/>
      <c r="AS39" s="25"/>
      <c r="AT39" s="26"/>
    </row>
    <row r="40" spans="1:46" hidden="1">
      <c r="A40" s="24" t="s">
        <v>3</v>
      </c>
      <c r="B40" s="25">
        <v>15</v>
      </c>
      <c r="C40" s="6">
        <f>$D$10</f>
        <v>50</v>
      </c>
      <c r="D40" s="6">
        <f>$D$11</f>
        <v>60</v>
      </c>
      <c r="E40" s="315">
        <f>$D$12</f>
        <v>0</v>
      </c>
      <c r="F40" s="5">
        <f>C40+D40+E40</f>
        <v>110</v>
      </c>
      <c r="G40" s="5">
        <v>7.0000000000000007E-2</v>
      </c>
      <c r="H40" s="5">
        <f>B40*F40*G40</f>
        <v>115.50000000000001</v>
      </c>
      <c r="I40" s="190">
        <f>C121*1.33^($D$16)/(1.6^($B$20/2))</f>
        <v>38815.087006850816</v>
      </c>
      <c r="J40" s="10">
        <f>I40/H40</f>
        <v>336.06135936667368</v>
      </c>
      <c r="K40" s="10">
        <f>J40*10/60/24</f>
        <v>2.3337594400463453</v>
      </c>
      <c r="L40" s="118"/>
      <c r="M40" s="559"/>
      <c r="N40" s="556"/>
      <c r="O40" s="556"/>
      <c r="P40" s="560"/>
      <c r="Q40" s="26"/>
      <c r="S40" s="24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6"/>
      <c r="AH40" s="24"/>
      <c r="AI40" s="78"/>
      <c r="AJ40" s="78"/>
      <c r="AK40" s="25"/>
      <c r="AL40" s="25"/>
      <c r="AM40" s="25"/>
      <c r="AN40" s="25"/>
      <c r="AO40" s="25"/>
      <c r="AP40" s="25"/>
      <c r="AQ40" s="25"/>
      <c r="AR40" s="25"/>
      <c r="AS40" s="25"/>
      <c r="AT40" s="26"/>
    </row>
    <row r="41" spans="1:46" hidden="1">
      <c r="A41" s="24" t="s">
        <v>4</v>
      </c>
      <c r="B41" s="25">
        <v>12</v>
      </c>
      <c r="C41" s="6">
        <f>$E$10</f>
        <v>70</v>
      </c>
      <c r="D41" s="6">
        <f>$E$11</f>
        <v>60</v>
      </c>
      <c r="E41" s="315">
        <f>$E$12</f>
        <v>0</v>
      </c>
      <c r="F41" s="5">
        <f>C41+D41+E41</f>
        <v>130</v>
      </c>
      <c r="G41" s="5"/>
      <c r="H41" s="5">
        <f>B41*F41*G41</f>
        <v>0</v>
      </c>
      <c r="I41" s="190">
        <f>D121*1.33^($D$16)/(1.6^($B$20/2))</f>
        <v>33447.043059094845</v>
      </c>
      <c r="J41" s="10" t="e">
        <f>I41/H41</f>
        <v>#DIV/0!</v>
      </c>
      <c r="K41" s="10" t="e">
        <f>J41*10/60/24</f>
        <v>#DIV/0!</v>
      </c>
      <c r="L41" s="118"/>
      <c r="M41" s="559"/>
      <c r="N41" s="556"/>
      <c r="O41" s="556"/>
      <c r="P41" s="560"/>
      <c r="Q41" s="26"/>
      <c r="S41" s="24"/>
      <c r="T41" s="25"/>
      <c r="U41" s="25"/>
      <c r="V41" s="25"/>
      <c r="W41" s="5" t="s">
        <v>2</v>
      </c>
      <c r="X41" s="5" t="s">
        <v>3</v>
      </c>
      <c r="Y41" s="5" t="s">
        <v>4</v>
      </c>
      <c r="Z41" s="5" t="s">
        <v>5</v>
      </c>
      <c r="AA41" s="5" t="s">
        <v>6</v>
      </c>
      <c r="AB41" s="25"/>
      <c r="AC41" s="25"/>
      <c r="AD41" s="25"/>
      <c r="AE41" s="25"/>
      <c r="AF41" s="26"/>
      <c r="AH41" s="24"/>
      <c r="AI41" s="78"/>
      <c r="AJ41" s="78"/>
      <c r="AK41" s="25"/>
      <c r="AL41" s="25"/>
      <c r="AM41" s="25"/>
      <c r="AN41" s="25"/>
      <c r="AO41" s="25"/>
      <c r="AP41" s="25"/>
      <c r="AQ41" s="25"/>
      <c r="AR41" s="25"/>
      <c r="AS41" s="25"/>
      <c r="AT41" s="26"/>
    </row>
    <row r="42" spans="1:46" hidden="1">
      <c r="A42" s="24" t="s">
        <v>5</v>
      </c>
      <c r="B42" s="25">
        <v>10</v>
      </c>
      <c r="C42" s="6">
        <f>$F$10</f>
        <v>70</v>
      </c>
      <c r="D42" s="6">
        <f>$F$11</f>
        <v>60</v>
      </c>
      <c r="E42" s="315">
        <f>$F$12</f>
        <v>0</v>
      </c>
      <c r="F42" s="5">
        <f>C42+D42+E42</f>
        <v>130</v>
      </c>
      <c r="G42" s="5"/>
      <c r="H42" s="5">
        <f>B42*F42*G42</f>
        <v>0</v>
      </c>
      <c r="I42" s="190">
        <f>E121*1.33^($D$16)/(1.6^($B$20/2))</f>
        <v>58635.556967795907</v>
      </c>
      <c r="J42" s="10" t="e">
        <f>I42/H42</f>
        <v>#DIV/0!</v>
      </c>
      <c r="K42" s="10" t="e">
        <f>J42*10/60/24</f>
        <v>#DIV/0!</v>
      </c>
      <c r="L42" s="118"/>
      <c r="M42" s="559"/>
      <c r="N42" s="556"/>
      <c r="O42" s="556"/>
      <c r="P42" s="560"/>
      <c r="Q42" s="26"/>
      <c r="S42" s="24"/>
      <c r="T42" s="25" t="s">
        <v>21</v>
      </c>
      <c r="U42" s="25"/>
      <c r="V42" s="25"/>
      <c r="W42" s="6">
        <f>C7</f>
        <v>2.46</v>
      </c>
      <c r="X42" s="6">
        <v>1</v>
      </c>
      <c r="Y42" s="6">
        <f>E7</f>
        <v>2.42</v>
      </c>
      <c r="Z42" s="6">
        <f>F7</f>
        <v>2.4500000000000002</v>
      </c>
      <c r="AA42" s="6">
        <f>G7</f>
        <v>2.1800000000000002</v>
      </c>
      <c r="AB42" s="25"/>
      <c r="AC42" s="25"/>
      <c r="AD42" s="25"/>
      <c r="AE42" s="25"/>
      <c r="AF42" s="26"/>
      <c r="AH42" s="24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</row>
    <row r="43" spans="1:46" ht="15.75" hidden="1" thickBot="1">
      <c r="A43" s="24" t="s">
        <v>6</v>
      </c>
      <c r="B43" s="25">
        <v>9</v>
      </c>
      <c r="C43" s="6">
        <f>$G$10</f>
        <v>60</v>
      </c>
      <c r="D43" s="6">
        <f>$G$11</f>
        <v>60</v>
      </c>
      <c r="E43" s="315">
        <f>$G$12</f>
        <v>0</v>
      </c>
      <c r="F43" s="5">
        <f>C43+D43+E43</f>
        <v>120</v>
      </c>
      <c r="G43" s="5"/>
      <c r="H43" s="5">
        <f>B43*F43*G43</f>
        <v>0</v>
      </c>
      <c r="I43" s="190">
        <f>F121*1.33^($D$16)/(1.6^($B$20/2))</f>
        <v>32621.190144055468</v>
      </c>
      <c r="J43" s="10" t="e">
        <f>I43/H43</f>
        <v>#DIV/0!</v>
      </c>
      <c r="K43" s="10" t="e">
        <f>J43*10/60/24</f>
        <v>#DIV/0!</v>
      </c>
      <c r="L43" s="118"/>
      <c r="M43" s="559"/>
      <c r="N43" s="556"/>
      <c r="O43" s="556"/>
      <c r="P43" s="560"/>
      <c r="Q43" s="26"/>
      <c r="S43" s="126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56"/>
      <c r="AH43" s="24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6"/>
    </row>
    <row r="44" spans="1:46" ht="15.75" hidden="1" thickBot="1">
      <c r="A44" s="24"/>
      <c r="B44" s="25"/>
      <c r="C44" s="25"/>
      <c r="D44" s="25"/>
      <c r="E44" s="239"/>
      <c r="F44" s="25"/>
      <c r="G44" s="25"/>
      <c r="H44" s="25"/>
      <c r="I44" s="25"/>
      <c r="J44" s="118"/>
      <c r="K44" s="118"/>
      <c r="L44" s="118"/>
      <c r="M44" s="118"/>
      <c r="N44" s="118"/>
      <c r="O44" s="118"/>
      <c r="P44" s="118"/>
      <c r="Q44" s="26"/>
      <c r="AH44" s="24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6"/>
    </row>
    <row r="45" spans="1:46" ht="21" hidden="1">
      <c r="A45" s="122" t="s">
        <v>18</v>
      </c>
      <c r="B45" s="25"/>
      <c r="C45" s="25"/>
      <c r="D45" s="25"/>
      <c r="E45" s="239"/>
      <c r="F45" s="25"/>
      <c r="G45" s="25"/>
      <c r="H45" s="25"/>
      <c r="I45" s="25"/>
      <c r="J45" s="118"/>
      <c r="K45" s="118"/>
      <c r="L45" s="118"/>
      <c r="M45" s="558" t="s">
        <v>22</v>
      </c>
      <c r="N45" s="558"/>
      <c r="O45" s="558"/>
      <c r="P45" s="558"/>
      <c r="Q45" s="26"/>
      <c r="S45" s="119"/>
      <c r="T45" s="120"/>
      <c r="U45" s="120"/>
      <c r="V45" s="120"/>
      <c r="W45" s="120"/>
      <c r="X45" s="120"/>
      <c r="Y45" s="44"/>
      <c r="AH45" s="24"/>
      <c r="AI45" s="217" t="s">
        <v>656</v>
      </c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6"/>
    </row>
    <row r="46" spans="1:46" ht="15.75" hidden="1">
      <c r="A46" s="129" t="s">
        <v>1</v>
      </c>
      <c r="B46" s="130" t="s">
        <v>7</v>
      </c>
      <c r="C46" s="3" t="s">
        <v>8</v>
      </c>
      <c r="D46" s="3" t="s">
        <v>9</v>
      </c>
      <c r="E46" s="314" t="s">
        <v>27</v>
      </c>
      <c r="F46" s="3" t="s">
        <v>10</v>
      </c>
      <c r="G46" s="3" t="s">
        <v>11</v>
      </c>
      <c r="H46" s="3" t="s">
        <v>14</v>
      </c>
      <c r="I46" s="3" t="s">
        <v>13</v>
      </c>
      <c r="J46" s="9" t="s">
        <v>15</v>
      </c>
      <c r="K46" s="9" t="s">
        <v>16</v>
      </c>
      <c r="L46" s="118"/>
      <c r="M46" s="9" t="s">
        <v>23</v>
      </c>
      <c r="N46" s="9" t="s">
        <v>24</v>
      </c>
      <c r="O46" s="9" t="s">
        <v>15</v>
      </c>
      <c r="P46" s="9" t="s">
        <v>25</v>
      </c>
      <c r="Q46" s="26"/>
      <c r="S46" s="24"/>
      <c r="T46" s="133" t="s">
        <v>481</v>
      </c>
      <c r="U46" s="25"/>
      <c r="V46" s="25"/>
      <c r="W46" s="25"/>
      <c r="X46" s="25"/>
      <c r="Y46" s="26"/>
      <c r="AH46" s="24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6"/>
    </row>
    <row r="47" spans="1:46" ht="22.5" hidden="1" customHeight="1">
      <c r="A47" s="24" t="s">
        <v>2</v>
      </c>
      <c r="B47" s="25">
        <v>10</v>
      </c>
      <c r="C47" s="6">
        <f>$C$10</f>
        <v>60</v>
      </c>
      <c r="D47" s="6">
        <f>$C$11</f>
        <v>60</v>
      </c>
      <c r="E47" s="315">
        <f>$C$12</f>
        <v>0</v>
      </c>
      <c r="F47" s="5">
        <f>C47+D47+E47</f>
        <v>120</v>
      </c>
      <c r="G47" s="5"/>
      <c r="H47" s="5">
        <f>B47*F47*G47</f>
        <v>0</v>
      </c>
      <c r="I47" s="190">
        <f>B122*1.33^($E$16)/(1.6^($B$20/2))</f>
        <v>72859.954667981219</v>
      </c>
      <c r="J47" s="10" t="e">
        <f>I47/H47</f>
        <v>#DIV/0!</v>
      </c>
      <c r="K47" s="10" t="e">
        <f>J47*10/60/24</f>
        <v>#DIV/0!</v>
      </c>
      <c r="L47" s="118"/>
      <c r="M47" s="559">
        <f>I47*$C$7+$D$7*I48+$E$7*I49+$F$7*I50+$G$7*I51</f>
        <v>1089868.3459055303</v>
      </c>
      <c r="N47" s="556">
        <f>$C$7*H47+$D$7*H48+$E$7*H49+$F$7*H50+$G$7*H51</f>
        <v>264.26400000000001</v>
      </c>
      <c r="O47" s="556">
        <f>M47/N47</f>
        <v>4124.1650240120871</v>
      </c>
      <c r="P47" s="560">
        <f>O47*10/60/24</f>
        <v>28.640034888972824</v>
      </c>
      <c r="Q47" s="26"/>
      <c r="S47" s="24"/>
      <c r="T47" s="25"/>
      <c r="U47" s="25"/>
      <c r="V47" s="25"/>
      <c r="W47" s="25"/>
      <c r="X47" s="25"/>
      <c r="Y47" s="26"/>
      <c r="AH47" s="24"/>
      <c r="AI47" s="5"/>
      <c r="AJ47" s="115" t="s">
        <v>470</v>
      </c>
      <c r="AK47" s="115" t="s">
        <v>472</v>
      </c>
      <c r="AL47" s="115" t="s">
        <v>473</v>
      </c>
      <c r="AM47" s="115" t="s">
        <v>471</v>
      </c>
      <c r="AN47" s="115" t="s">
        <v>474</v>
      </c>
      <c r="AO47" s="115" t="s">
        <v>478</v>
      </c>
      <c r="AP47" s="115" t="s">
        <v>477</v>
      </c>
      <c r="AQ47" s="25"/>
      <c r="AR47" s="25"/>
      <c r="AS47" s="25"/>
      <c r="AT47" s="26"/>
    </row>
    <row r="48" spans="1:46" hidden="1">
      <c r="A48" s="24" t="s">
        <v>3</v>
      </c>
      <c r="B48" s="25">
        <v>15</v>
      </c>
      <c r="C48" s="6">
        <f>$D$10</f>
        <v>50</v>
      </c>
      <c r="D48" s="6">
        <f>$D$11</f>
        <v>60</v>
      </c>
      <c r="E48" s="315">
        <f>$D$12</f>
        <v>0</v>
      </c>
      <c r="F48" s="5">
        <f>C48+D48+E48</f>
        <v>110</v>
      </c>
      <c r="G48" s="5"/>
      <c r="H48" s="5">
        <f>B48*F48*G48</f>
        <v>0</v>
      </c>
      <c r="I48" s="190">
        <f>C122*1.33^($E$16)/(1.6^($B$20/2))</f>
        <v>59259.429796624732</v>
      </c>
      <c r="J48" s="10" t="e">
        <f>I48/H48</f>
        <v>#DIV/0!</v>
      </c>
      <c r="K48" s="10" t="e">
        <f>J48*10/60/24</f>
        <v>#DIV/0!</v>
      </c>
      <c r="L48" s="118"/>
      <c r="M48" s="559"/>
      <c r="N48" s="556"/>
      <c r="O48" s="556"/>
      <c r="P48" s="560"/>
      <c r="Q48" s="26"/>
      <c r="S48" s="24"/>
      <c r="T48" s="25"/>
      <c r="U48" s="25"/>
      <c r="V48" s="25"/>
      <c r="W48" s="25" t="s">
        <v>483</v>
      </c>
      <c r="X48" s="25"/>
      <c r="Y48" s="26"/>
      <c r="AH48" s="24"/>
      <c r="AI48" s="5"/>
      <c r="AJ48" s="115"/>
      <c r="AK48" s="115"/>
      <c r="AL48" s="115"/>
      <c r="AM48" s="115"/>
      <c r="AN48" s="115"/>
      <c r="AO48" s="115"/>
      <c r="AP48" s="115"/>
      <c r="AQ48" s="25"/>
      <c r="AR48" s="25"/>
      <c r="AS48" s="25"/>
      <c r="AT48" s="26"/>
    </row>
    <row r="49" spans="1:46" hidden="1">
      <c r="A49" s="24" t="s">
        <v>4</v>
      </c>
      <c r="B49" s="25">
        <v>12</v>
      </c>
      <c r="C49" s="6">
        <f>$E$10</f>
        <v>70</v>
      </c>
      <c r="D49" s="6">
        <f>$E$11</f>
        <v>60</v>
      </c>
      <c r="E49" s="315">
        <f>$E$12</f>
        <v>0</v>
      </c>
      <c r="F49" s="5">
        <f>C49+D49+E49</f>
        <v>130</v>
      </c>
      <c r="G49" s="5">
        <v>7.0000000000000007E-2</v>
      </c>
      <c r="H49" s="5">
        <f>B49*F49*G49</f>
        <v>109.20000000000002</v>
      </c>
      <c r="I49" s="190">
        <f>D122*1.33^($E$16)/(1.6^($B$20/2))</f>
        <v>140862.57902476369</v>
      </c>
      <c r="J49" s="10">
        <f>I49/H49</f>
        <v>1289.9503573696306</v>
      </c>
      <c r="K49" s="10">
        <f>J49*10/60/24</f>
        <v>8.957988592844659</v>
      </c>
      <c r="L49" s="118"/>
      <c r="M49" s="559"/>
      <c r="N49" s="556"/>
      <c r="O49" s="556"/>
      <c r="P49" s="560"/>
      <c r="Q49" s="26"/>
      <c r="S49" s="24"/>
      <c r="T49" s="134" t="s">
        <v>408</v>
      </c>
      <c r="U49" s="5" t="s">
        <v>418</v>
      </c>
      <c r="V49" s="5" t="s">
        <v>482</v>
      </c>
      <c r="W49" s="73" t="s">
        <v>419</v>
      </c>
      <c r="X49" s="76" t="s">
        <v>22</v>
      </c>
      <c r="Y49" s="26"/>
      <c r="AE49" s="94"/>
      <c r="AH49" s="24"/>
      <c r="AI49" s="5" t="s">
        <v>2</v>
      </c>
      <c r="AJ49" s="190">
        <f>B130*1.33^($P$7)/(1.6^($B$20/2))</f>
        <v>43549.190473580762</v>
      </c>
      <c r="AK49" s="575">
        <f>240/(P7+19)</f>
        <v>5.1063829787234045</v>
      </c>
      <c r="AL49" s="575">
        <f>240/((P7+1)+19)</f>
        <v>5</v>
      </c>
      <c r="AM49" s="572">
        <f>(AK49-AL49)/AK49</f>
        <v>2.0833333333333384E-2</v>
      </c>
      <c r="AN49" s="578">
        <f>O8</f>
        <v>400000</v>
      </c>
      <c r="AO49" s="569">
        <f>AM49*AN53</f>
        <v>2083.3333333333385</v>
      </c>
      <c r="AP49" s="566">
        <f>AJ54/AO49</f>
        <v>127.252318170729</v>
      </c>
      <c r="AQ49" s="25"/>
      <c r="AR49" s="25"/>
      <c r="AS49" s="25"/>
      <c r="AT49" s="26"/>
    </row>
    <row r="50" spans="1:46" hidden="1">
      <c r="A50" s="24" t="s">
        <v>5</v>
      </c>
      <c r="B50" s="25">
        <v>10</v>
      </c>
      <c r="C50" s="6">
        <f>$F$10</f>
        <v>70</v>
      </c>
      <c r="D50" s="6">
        <f>$F$11</f>
        <v>60</v>
      </c>
      <c r="E50" s="315">
        <f>$F$12</f>
        <v>0</v>
      </c>
      <c r="F50" s="5">
        <f>C50+D50+E50</f>
        <v>130</v>
      </c>
      <c r="G50" s="5"/>
      <c r="H50" s="5">
        <f>B50*F50*G50</f>
        <v>0</v>
      </c>
      <c r="I50" s="190">
        <f>E122*1.33^($E$16)/(1.6^($B$20/2))</f>
        <v>172920.95907867543</v>
      </c>
      <c r="J50" s="10" t="e">
        <f>I50/H50</f>
        <v>#DIV/0!</v>
      </c>
      <c r="K50" s="10" t="e">
        <f>J50*10/60/24</f>
        <v>#DIV/0!</v>
      </c>
      <c r="L50" s="118"/>
      <c r="M50" s="559"/>
      <c r="N50" s="556"/>
      <c r="O50" s="556"/>
      <c r="P50" s="560"/>
      <c r="Q50" s="26"/>
      <c r="S50" s="24"/>
      <c r="T50" s="5" t="s">
        <v>421</v>
      </c>
      <c r="U50" s="5">
        <v>35000</v>
      </c>
      <c r="V50" s="5">
        <v>12</v>
      </c>
      <c r="W50" s="137">
        <f>U50/V50</f>
        <v>2916.6666666666665</v>
      </c>
      <c r="X50" s="135">
        <f>$W$50*$Y$42</f>
        <v>7058.333333333333</v>
      </c>
      <c r="Y50" s="26"/>
      <c r="AE50" s="94"/>
      <c r="AH50" s="24"/>
      <c r="AI50" s="5" t="s">
        <v>3</v>
      </c>
      <c r="AJ50" s="190">
        <f>C130*1.33^($P$7)/(1.6^($B$20/2))</f>
        <v>36950.828280613983</v>
      </c>
      <c r="AK50" s="576"/>
      <c r="AL50" s="576"/>
      <c r="AM50" s="573"/>
      <c r="AN50" s="579"/>
      <c r="AO50" s="570"/>
      <c r="AP50" s="567"/>
      <c r="AQ50" s="25"/>
      <c r="AR50" s="25"/>
      <c r="AS50" s="25"/>
      <c r="AT50" s="26"/>
    </row>
    <row r="51" spans="1:46" hidden="1">
      <c r="A51" s="24" t="s">
        <v>6</v>
      </c>
      <c r="B51" s="25">
        <v>9</v>
      </c>
      <c r="C51" s="6">
        <f>$G$10</f>
        <v>60</v>
      </c>
      <c r="D51" s="6">
        <f>$G$11</f>
        <v>60</v>
      </c>
      <c r="E51" s="315">
        <f>$G$12</f>
        <v>0</v>
      </c>
      <c r="F51" s="5">
        <f>C51+D51+E51</f>
        <v>120</v>
      </c>
      <c r="G51" s="5"/>
      <c r="H51" s="5">
        <f>B51*F51*G51</f>
        <v>0</v>
      </c>
      <c r="I51" s="190">
        <f>F122*1.33^($E$16)/(1.6^($B$20/2))</f>
        <v>39830.108551829733</v>
      </c>
      <c r="J51" s="10" t="e">
        <f>I51/H51</f>
        <v>#DIV/0!</v>
      </c>
      <c r="K51" s="10" t="e">
        <f>J51*10/60/24</f>
        <v>#DIV/0!</v>
      </c>
      <c r="L51" s="118"/>
      <c r="M51" s="559"/>
      <c r="N51" s="556"/>
      <c r="O51" s="556"/>
      <c r="P51" s="560"/>
      <c r="Q51" s="26"/>
      <c r="S51" s="24"/>
      <c r="T51" s="5" t="s">
        <v>422</v>
      </c>
      <c r="U51" s="5">
        <v>25000</v>
      </c>
      <c r="V51" s="5">
        <v>20</v>
      </c>
      <c r="W51" s="137">
        <f t="shared" ref="W51:W59" si="0">U51/V51</f>
        <v>1250</v>
      </c>
      <c r="X51" s="135">
        <f>$W$51*$AA$42</f>
        <v>2725</v>
      </c>
      <c r="Y51" s="26"/>
      <c r="AE51" s="94"/>
      <c r="AH51" s="24"/>
      <c r="AI51" s="5" t="s">
        <v>4</v>
      </c>
      <c r="AJ51" s="190">
        <f>D130*1.33^($P$7)/(1.6^($B$20/2))</f>
        <v>14516.396824526919</v>
      </c>
      <c r="AK51" s="576"/>
      <c r="AL51" s="576"/>
      <c r="AM51" s="573"/>
      <c r="AN51" s="221" t="s">
        <v>475</v>
      </c>
      <c r="AO51" s="570"/>
      <c r="AP51" s="567"/>
      <c r="AQ51" s="25"/>
      <c r="AR51" s="25"/>
      <c r="AS51" s="25"/>
      <c r="AT51" s="26"/>
    </row>
    <row r="52" spans="1:46" hidden="1">
      <c r="A52" s="24"/>
      <c r="B52" s="25"/>
      <c r="C52" s="25"/>
      <c r="D52" s="25"/>
      <c r="E52" s="239"/>
      <c r="F52" s="25"/>
      <c r="G52" s="25"/>
      <c r="H52" s="25"/>
      <c r="I52" s="25"/>
      <c r="J52" s="118"/>
      <c r="K52" s="118"/>
      <c r="L52" s="118"/>
      <c r="M52" s="118"/>
      <c r="N52" s="118"/>
      <c r="O52" s="118"/>
      <c r="P52" s="118"/>
      <c r="Q52" s="26"/>
      <c r="S52" s="24"/>
      <c r="T52" s="5" t="s">
        <v>423</v>
      </c>
      <c r="U52" s="5">
        <v>55000</v>
      </c>
      <c r="V52" s="5">
        <v>24</v>
      </c>
      <c r="W52" s="137">
        <f t="shared" si="0"/>
        <v>2291.6666666666665</v>
      </c>
      <c r="X52" s="135">
        <f>$W$52*$Z$42</f>
        <v>5614.583333333333</v>
      </c>
      <c r="Y52" s="26"/>
      <c r="AE52" s="94"/>
      <c r="AH52" s="24"/>
      <c r="AI52" s="5" t="s">
        <v>5</v>
      </c>
      <c r="AJ52" s="190">
        <f>E130*1.33^($P$7)/(1.6^($B$20/2))</f>
        <v>19795.086578900344</v>
      </c>
      <c r="AK52" s="576"/>
      <c r="AL52" s="576"/>
      <c r="AM52" s="573"/>
      <c r="AN52" s="6" t="s">
        <v>476</v>
      </c>
      <c r="AO52" s="570"/>
      <c r="AP52" s="567"/>
      <c r="AQ52" s="25"/>
      <c r="AR52" s="25"/>
      <c r="AS52" s="25"/>
      <c r="AT52" s="26"/>
    </row>
    <row r="53" spans="1:46" hidden="1">
      <c r="A53" s="122" t="s">
        <v>19</v>
      </c>
      <c r="B53" s="25"/>
      <c r="C53" s="25"/>
      <c r="D53" s="25"/>
      <c r="E53" s="239"/>
      <c r="F53" s="25"/>
      <c r="G53" s="25"/>
      <c r="H53" s="25"/>
      <c r="I53" s="25"/>
      <c r="J53" s="118"/>
      <c r="K53" s="118"/>
      <c r="L53" s="118"/>
      <c r="M53" s="558" t="s">
        <v>22</v>
      </c>
      <c r="N53" s="558"/>
      <c r="O53" s="558"/>
      <c r="P53" s="558"/>
      <c r="Q53" s="26"/>
      <c r="S53" s="24"/>
      <c r="T53" s="5" t="s">
        <v>420</v>
      </c>
      <c r="U53" s="5">
        <v>100000</v>
      </c>
      <c r="V53" s="5">
        <v>28</v>
      </c>
      <c r="W53" s="137">
        <f t="shared" si="0"/>
        <v>3571.4285714285716</v>
      </c>
      <c r="X53" s="135">
        <f>$W$53*$X$42</f>
        <v>3571.4285714285716</v>
      </c>
      <c r="Y53" s="26"/>
      <c r="AE53" s="94"/>
      <c r="AH53" s="24"/>
      <c r="AI53" s="5" t="s">
        <v>6</v>
      </c>
      <c r="AJ53" s="190">
        <f>F130*1.33^($P$7)/(1.6^($B$20/2))</f>
        <v>17155.741701713632</v>
      </c>
      <c r="AK53" s="577"/>
      <c r="AL53" s="577"/>
      <c r="AM53" s="574"/>
      <c r="AN53" s="223">
        <f>P8</f>
        <v>100000</v>
      </c>
      <c r="AO53" s="571"/>
      <c r="AP53" s="568"/>
      <c r="AQ53" s="25"/>
      <c r="AR53" s="25"/>
      <c r="AS53" s="25"/>
      <c r="AT53" s="26"/>
    </row>
    <row r="54" spans="1:46" hidden="1">
      <c r="A54" s="129" t="s">
        <v>1</v>
      </c>
      <c r="B54" s="130" t="s">
        <v>7</v>
      </c>
      <c r="C54" s="3" t="s">
        <v>8</v>
      </c>
      <c r="D54" s="3" t="s">
        <v>9</v>
      </c>
      <c r="E54" s="314" t="s">
        <v>27</v>
      </c>
      <c r="F54" s="3" t="s">
        <v>10</v>
      </c>
      <c r="G54" s="3" t="s">
        <v>11</v>
      </c>
      <c r="H54" s="3" t="s">
        <v>14</v>
      </c>
      <c r="I54" s="3" t="s">
        <v>13</v>
      </c>
      <c r="J54" s="9" t="s">
        <v>15</v>
      </c>
      <c r="K54" s="9" t="s">
        <v>16</v>
      </c>
      <c r="L54" s="118"/>
      <c r="M54" s="9" t="s">
        <v>23</v>
      </c>
      <c r="N54" s="9" t="s">
        <v>24</v>
      </c>
      <c r="O54" s="9" t="s">
        <v>15</v>
      </c>
      <c r="P54" s="9" t="s">
        <v>25</v>
      </c>
      <c r="Q54" s="26"/>
      <c r="S54" s="24"/>
      <c r="T54" s="5" t="s">
        <v>424</v>
      </c>
      <c r="U54" s="5">
        <v>125000</v>
      </c>
      <c r="V54" s="5">
        <v>40</v>
      </c>
      <c r="W54" s="137">
        <f t="shared" si="0"/>
        <v>3125</v>
      </c>
      <c r="X54" s="135">
        <f>$W$54*$W$42</f>
        <v>7687.5</v>
      </c>
      <c r="Y54" s="26"/>
      <c r="AE54" s="94"/>
      <c r="AH54" s="24"/>
      <c r="AI54" s="5" t="s">
        <v>22</v>
      </c>
      <c r="AJ54" s="116">
        <f>AJ49*C7+AJ50*D7+E7*AJ51+AJ52*F7+G7*AJ53</f>
        <v>265108.99618901941</v>
      </c>
      <c r="AK54" s="25"/>
      <c r="AL54" s="25"/>
      <c r="AM54" s="25"/>
      <c r="AN54" s="25"/>
      <c r="AO54" s="25"/>
      <c r="AP54" s="25"/>
      <c r="AQ54" s="25"/>
      <c r="AR54" s="25"/>
      <c r="AS54" s="25"/>
      <c r="AT54" s="26"/>
    </row>
    <row r="55" spans="1:46" hidden="1">
      <c r="A55" s="24" t="s">
        <v>2</v>
      </c>
      <c r="B55" s="25">
        <v>10</v>
      </c>
      <c r="C55" s="6">
        <f>$C$10</f>
        <v>60</v>
      </c>
      <c r="D55" s="6">
        <f>$C$11</f>
        <v>60</v>
      </c>
      <c r="E55" s="315">
        <f>$C$12</f>
        <v>0</v>
      </c>
      <c r="F55" s="5">
        <f>C55+D55+E55</f>
        <v>120</v>
      </c>
      <c r="G55" s="5">
        <v>0.02</v>
      </c>
      <c r="H55" s="5">
        <f>B55*F55*G55</f>
        <v>24</v>
      </c>
      <c r="I55" s="190">
        <f>B123*1.33^($G$16)/(1.6^($B$20/2))</f>
        <v>89374.877726056962</v>
      </c>
      <c r="J55" s="10">
        <f>I55/H55</f>
        <v>3723.9532385857069</v>
      </c>
      <c r="K55" s="10">
        <f>J55*10/60/24</f>
        <v>25.86078637906741</v>
      </c>
      <c r="L55" s="118"/>
      <c r="M55" s="559">
        <f>I55*$C$7+$D$7*I56+$E$7*I57+$F$7*I58+$G$7*I59</f>
        <v>1004525.0523377683</v>
      </c>
      <c r="N55" s="556">
        <f>$C$7*H55+$D$7*H56+$E$7*H57+$F$7*H58+$G$7*H59</f>
        <v>278.33199999999999</v>
      </c>
      <c r="O55" s="556">
        <f>M55/N55</f>
        <v>3609.08933337801</v>
      </c>
      <c r="P55" s="560">
        <f>O55*10/60/24</f>
        <v>25.063120370680625</v>
      </c>
      <c r="Q55" s="26"/>
      <c r="S55" s="24"/>
      <c r="T55" s="136" t="s">
        <v>425</v>
      </c>
      <c r="U55" s="5">
        <v>300000</v>
      </c>
      <c r="V55" s="5">
        <v>48</v>
      </c>
      <c r="W55" s="137">
        <f t="shared" si="0"/>
        <v>6250</v>
      </c>
      <c r="X55" s="135">
        <f>$W$55*$Y$42</f>
        <v>15125</v>
      </c>
      <c r="Y55" s="26"/>
      <c r="AE55" s="94"/>
      <c r="AH55" s="24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6"/>
    </row>
    <row r="56" spans="1:46" hidden="1">
      <c r="A56" s="24" t="s">
        <v>3</v>
      </c>
      <c r="B56" s="25">
        <v>15</v>
      </c>
      <c r="C56" s="6">
        <f>$D$10</f>
        <v>50</v>
      </c>
      <c r="D56" s="6">
        <f>$D$11</f>
        <v>60</v>
      </c>
      <c r="E56" s="315">
        <f>$D$12</f>
        <v>0</v>
      </c>
      <c r="F56" s="5">
        <f>C56+D56+E56</f>
        <v>110</v>
      </c>
      <c r="G56" s="5">
        <v>0.02</v>
      </c>
      <c r="H56" s="5">
        <f>B56*F56*G56</f>
        <v>33</v>
      </c>
      <c r="I56" s="190">
        <f>C123*1.33^($G$16)/(1.6^($B$20/2))</f>
        <v>108804.19897085195</v>
      </c>
      <c r="J56" s="10">
        <f>I56/H56</f>
        <v>3297.0969385106655</v>
      </c>
      <c r="K56" s="10">
        <f>J56*10/60/24</f>
        <v>22.896506517435174</v>
      </c>
      <c r="L56" s="118"/>
      <c r="M56" s="559"/>
      <c r="N56" s="556"/>
      <c r="O56" s="556"/>
      <c r="P56" s="560"/>
      <c r="Q56" s="26"/>
      <c r="S56" s="24"/>
      <c r="T56" s="5" t="s">
        <v>426</v>
      </c>
      <c r="U56" s="5">
        <v>200000</v>
      </c>
      <c r="V56" s="5">
        <v>80</v>
      </c>
      <c r="W56" s="137">
        <f t="shared" si="0"/>
        <v>2500</v>
      </c>
      <c r="X56" s="135">
        <f>$W$56*$AA$42</f>
        <v>5450</v>
      </c>
      <c r="Y56" s="26"/>
      <c r="AE56" s="94"/>
      <c r="AH56" s="24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6"/>
    </row>
    <row r="57" spans="1:46" hidden="1">
      <c r="A57" s="24" t="s">
        <v>4</v>
      </c>
      <c r="B57" s="25">
        <v>12</v>
      </c>
      <c r="C57" s="6">
        <f>$E$10</f>
        <v>70</v>
      </c>
      <c r="D57" s="6">
        <f>$E$11</f>
        <v>60</v>
      </c>
      <c r="E57" s="315">
        <f>$E$12</f>
        <v>0</v>
      </c>
      <c r="F57" s="5">
        <f>C57+D57+E57</f>
        <v>130</v>
      </c>
      <c r="G57" s="5">
        <v>0.02</v>
      </c>
      <c r="H57" s="5">
        <f>B57*F57*G57</f>
        <v>31.2</v>
      </c>
      <c r="I57" s="190">
        <f>D123*1.33^($G$16)/(1.6^($B$20/2))</f>
        <v>98118.072286214723</v>
      </c>
      <c r="J57" s="10">
        <f>I57/H57</f>
        <v>3144.8100091735487</v>
      </c>
      <c r="K57" s="10">
        <f>J57*10/60/24</f>
        <v>21.838958397038535</v>
      </c>
      <c r="L57" s="118"/>
      <c r="M57" s="559"/>
      <c r="N57" s="556"/>
      <c r="O57" s="556"/>
      <c r="P57" s="560"/>
      <c r="Q57" s="26"/>
      <c r="S57" s="24"/>
      <c r="T57" s="5" t="s">
        <v>427</v>
      </c>
      <c r="U57" s="5">
        <v>400000</v>
      </c>
      <c r="V57" s="5">
        <v>96</v>
      </c>
      <c r="W57" s="137">
        <f t="shared" si="0"/>
        <v>4166.666666666667</v>
      </c>
      <c r="X57" s="135">
        <f>$W$57*$Z$42</f>
        <v>10208.333333333334</v>
      </c>
      <c r="Y57" s="26"/>
      <c r="AE57" s="94"/>
      <c r="AH57" s="24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6"/>
    </row>
    <row r="58" spans="1:46" hidden="1">
      <c r="A58" s="24" t="s">
        <v>5</v>
      </c>
      <c r="B58" s="25">
        <v>10</v>
      </c>
      <c r="C58" s="6">
        <f>$F$10</f>
        <v>70</v>
      </c>
      <c r="D58" s="6">
        <f>$F$11</f>
        <v>60</v>
      </c>
      <c r="E58" s="315">
        <f>$F$12</f>
        <v>0</v>
      </c>
      <c r="F58" s="5">
        <f>C58+D58+E58</f>
        <v>130</v>
      </c>
      <c r="G58" s="5">
        <v>0.02</v>
      </c>
      <c r="H58" s="5">
        <f>B58*F58*G58</f>
        <v>26</v>
      </c>
      <c r="I58" s="190">
        <f>E123*1.33^($G$16)/(1.6^($B$20/2))</f>
        <v>94232.208037255725</v>
      </c>
      <c r="J58" s="10">
        <f>I58/H58</f>
        <v>3624.3156937406047</v>
      </c>
      <c r="K58" s="10">
        <f>J58*10/60/24</f>
        <v>25.168858984309754</v>
      </c>
      <c r="L58" s="118"/>
      <c r="M58" s="559"/>
      <c r="N58" s="556"/>
      <c r="O58" s="556"/>
      <c r="P58" s="560"/>
      <c r="Q58" s="26"/>
      <c r="S58" s="24"/>
      <c r="T58" s="5" t="s">
        <v>428</v>
      </c>
      <c r="U58" s="5">
        <v>750000</v>
      </c>
      <c r="V58" s="5">
        <v>112</v>
      </c>
      <c r="W58" s="137">
        <f t="shared" si="0"/>
        <v>6696.4285714285716</v>
      </c>
      <c r="X58" s="135">
        <f>$W$58*$X$42</f>
        <v>6696.4285714285716</v>
      </c>
      <c r="Y58" s="26"/>
      <c r="AE58" s="94"/>
      <c r="AH58" s="24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6"/>
    </row>
    <row r="59" spans="1:46" hidden="1">
      <c r="A59" s="24" t="s">
        <v>6</v>
      </c>
      <c r="B59" s="25">
        <v>9</v>
      </c>
      <c r="C59" s="6">
        <f>$G$10</f>
        <v>60</v>
      </c>
      <c r="D59" s="6">
        <f>$G$11</f>
        <v>60</v>
      </c>
      <c r="E59" s="315">
        <f>$G$12</f>
        <v>0</v>
      </c>
      <c r="F59" s="5">
        <f>C59+D59+E59</f>
        <v>120</v>
      </c>
      <c r="G59" s="5">
        <v>0.02</v>
      </c>
      <c r="H59" s="5">
        <f>B59*F59*G59</f>
        <v>21.6</v>
      </c>
      <c r="I59" s="190">
        <f>F123*1.33^($G$16)/(1.6^($B$20/2))</f>
        <v>95203.67409949546</v>
      </c>
      <c r="J59" s="10">
        <f>I59/H59</f>
        <v>4407.5775046062708</v>
      </c>
      <c r="K59" s="10">
        <f>J59*10/60/24</f>
        <v>30.608177115321325</v>
      </c>
      <c r="L59" s="118"/>
      <c r="M59" s="559"/>
      <c r="N59" s="556"/>
      <c r="O59" s="556"/>
      <c r="P59" s="560"/>
      <c r="Q59" s="26"/>
      <c r="S59" s="24"/>
      <c r="T59" s="5" t="s">
        <v>429</v>
      </c>
      <c r="U59" s="5">
        <v>850000</v>
      </c>
      <c r="V59" s="5">
        <v>160</v>
      </c>
      <c r="W59" s="137">
        <f t="shared" si="0"/>
        <v>5312.5</v>
      </c>
      <c r="X59" s="135">
        <f>$W$59*$W$42</f>
        <v>13068.75</v>
      </c>
      <c r="Y59" s="26"/>
      <c r="AH59" s="24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6"/>
    </row>
    <row r="60" spans="1:46" ht="15.75" hidden="1" thickBot="1">
      <c r="A60" s="24"/>
      <c r="B60" s="25"/>
      <c r="C60" s="25"/>
      <c r="D60" s="25"/>
      <c r="E60" s="239"/>
      <c r="F60" s="25"/>
      <c r="G60" s="25"/>
      <c r="H60" s="25"/>
      <c r="I60" s="25"/>
      <c r="J60" s="118"/>
      <c r="K60" s="118"/>
      <c r="L60" s="118"/>
      <c r="M60" s="118"/>
      <c r="N60" s="118"/>
      <c r="O60" s="118"/>
      <c r="P60" s="118"/>
      <c r="Q60" s="26"/>
      <c r="S60" s="126"/>
      <c r="T60" s="108"/>
      <c r="U60" s="108"/>
      <c r="V60" s="108"/>
      <c r="W60" s="108"/>
      <c r="X60" s="108"/>
      <c r="Y60" s="56"/>
      <c r="AH60" s="24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6"/>
    </row>
    <row r="61" spans="1:46" ht="15.75" hidden="1" thickBot="1">
      <c r="A61" s="122" t="s">
        <v>20</v>
      </c>
      <c r="B61" s="25"/>
      <c r="C61" s="25"/>
      <c r="D61" s="25"/>
      <c r="E61" s="239"/>
      <c r="F61" s="25"/>
      <c r="G61" s="25"/>
      <c r="H61" s="25"/>
      <c r="I61" s="25"/>
      <c r="J61" s="118"/>
      <c r="K61" s="118"/>
      <c r="L61" s="118"/>
      <c r="M61" s="558" t="s">
        <v>22</v>
      </c>
      <c r="N61" s="558"/>
      <c r="O61" s="558"/>
      <c r="P61" s="558"/>
      <c r="Q61" s="26"/>
      <c r="AH61" s="24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6"/>
    </row>
    <row r="62" spans="1:46" hidden="1">
      <c r="A62" s="129" t="s">
        <v>1</v>
      </c>
      <c r="B62" s="130" t="s">
        <v>7</v>
      </c>
      <c r="C62" s="3" t="s">
        <v>8</v>
      </c>
      <c r="D62" s="3" t="s">
        <v>9</v>
      </c>
      <c r="E62" s="314" t="s">
        <v>27</v>
      </c>
      <c r="F62" s="3" t="s">
        <v>10</v>
      </c>
      <c r="G62" s="3" t="s">
        <v>11</v>
      </c>
      <c r="H62" s="3" t="s">
        <v>14</v>
      </c>
      <c r="I62" s="3" t="s">
        <v>13</v>
      </c>
      <c r="J62" s="9" t="s">
        <v>15</v>
      </c>
      <c r="K62" s="9" t="s">
        <v>16</v>
      </c>
      <c r="L62" s="118"/>
      <c r="M62" s="9" t="s">
        <v>23</v>
      </c>
      <c r="N62" s="9" t="s">
        <v>24</v>
      </c>
      <c r="O62" s="9" t="s">
        <v>15</v>
      </c>
      <c r="P62" s="9" t="s">
        <v>25</v>
      </c>
      <c r="Q62" s="26"/>
      <c r="S62" s="119"/>
      <c r="T62" s="120"/>
      <c r="U62" s="120"/>
      <c r="V62" s="44"/>
      <c r="AH62" s="24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6"/>
    </row>
    <row r="63" spans="1:46" ht="15.75" hidden="1" thickBot="1">
      <c r="A63" s="24" t="s">
        <v>2</v>
      </c>
      <c r="B63" s="25">
        <v>10</v>
      </c>
      <c r="C63" s="6">
        <f>$C$10</f>
        <v>60</v>
      </c>
      <c r="D63" s="6">
        <f>$C$11</f>
        <v>60</v>
      </c>
      <c r="E63" s="315">
        <f>$C$12</f>
        <v>0</v>
      </c>
      <c r="F63" s="5">
        <f>C63+D63+E63</f>
        <v>120</v>
      </c>
      <c r="G63" s="5"/>
      <c r="H63" s="5">
        <f>B63*F63*G63</f>
        <v>0</v>
      </c>
      <c r="I63" s="190">
        <f>B124*1.33^($H$16)/(1.6^($B$20/2))</f>
        <v>62173.827983343981</v>
      </c>
      <c r="J63" s="10" t="e">
        <f>I63/H63</f>
        <v>#DIV/0!</v>
      </c>
      <c r="K63" s="10" t="e">
        <f>J63*10/60/24</f>
        <v>#DIV/0!</v>
      </c>
      <c r="L63" s="118"/>
      <c r="M63" s="559">
        <f>I63*$C$7+$D$7*I64+$E$7*I65+$F$7*I66+$G$7*I67</f>
        <v>1074256.8862853374</v>
      </c>
      <c r="N63" s="556">
        <f>$C$7*H63+$D$7*H64+$E$7*H65+$F$7*H66+$G$7*H67</f>
        <v>222.95000000000005</v>
      </c>
      <c r="O63" s="556">
        <f>M63/N63</f>
        <v>4818.3758075144078</v>
      </c>
      <c r="P63" s="560">
        <f>O63*10/60/24</f>
        <v>33.460943107738942</v>
      </c>
      <c r="Q63" s="26"/>
      <c r="S63" s="24"/>
      <c r="T63" s="212" t="s">
        <v>431</v>
      </c>
      <c r="U63" s="25" t="s">
        <v>432</v>
      </c>
      <c r="V63" s="210" t="s">
        <v>433</v>
      </c>
      <c r="W63" s="96"/>
      <c r="AH63" s="126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56"/>
    </row>
    <row r="64" spans="1:46" hidden="1">
      <c r="A64" s="24" t="s">
        <v>3</v>
      </c>
      <c r="B64" s="25">
        <v>15</v>
      </c>
      <c r="C64" s="6">
        <f>$D$10</f>
        <v>50</v>
      </c>
      <c r="D64" s="6">
        <f>$D$11</f>
        <v>60</v>
      </c>
      <c r="E64" s="315">
        <f>$D$12</f>
        <v>0</v>
      </c>
      <c r="F64" s="5">
        <f>C64+D64+E64</f>
        <v>110</v>
      </c>
      <c r="G64" s="5"/>
      <c r="H64" s="5">
        <f>B64*F64*G64</f>
        <v>0</v>
      </c>
      <c r="I64" s="190">
        <f>C124*1.33^($H$16)/(1.6^($B$20/2))</f>
        <v>73831.420730220969</v>
      </c>
      <c r="J64" s="10" t="e">
        <f>I64/H64</f>
        <v>#DIV/0!</v>
      </c>
      <c r="K64" s="10" t="e">
        <f>J64*10/60/24</f>
        <v>#DIV/0!</v>
      </c>
      <c r="L64" s="118"/>
      <c r="M64" s="559"/>
      <c r="N64" s="556"/>
      <c r="O64" s="556"/>
      <c r="P64" s="560"/>
      <c r="Q64" s="26"/>
      <c r="S64" s="24"/>
      <c r="T64" s="25"/>
      <c r="U64" s="25"/>
      <c r="V64" s="26"/>
    </row>
    <row r="65" spans="1:23" hidden="1">
      <c r="A65" s="24" t="s">
        <v>4</v>
      </c>
      <c r="B65" s="25">
        <v>12</v>
      </c>
      <c r="C65" s="6">
        <f>$E$10</f>
        <v>70</v>
      </c>
      <c r="D65" s="6">
        <f>$E$11</f>
        <v>60</v>
      </c>
      <c r="E65" s="315">
        <f>$E$12</f>
        <v>0</v>
      </c>
      <c r="F65" s="5">
        <f>C65+D65+E65</f>
        <v>130</v>
      </c>
      <c r="G65" s="5"/>
      <c r="H65" s="5">
        <f>B65*F65*G65</f>
        <v>0</v>
      </c>
      <c r="I65" s="190">
        <f>D124*1.33^($H$16)/(1.6^($B$20/2))</f>
        <v>145719.90933596244</v>
      </c>
      <c r="J65" s="10" t="e">
        <f>I65/H65</f>
        <v>#DIV/0!</v>
      </c>
      <c r="K65" s="10" t="e">
        <f>J65*10/60/24</f>
        <v>#DIV/0!</v>
      </c>
      <c r="L65" s="118"/>
      <c r="M65" s="559"/>
      <c r="N65" s="556"/>
      <c r="O65" s="556"/>
      <c r="P65" s="560"/>
      <c r="Q65" s="26"/>
      <c r="S65" s="24"/>
      <c r="T65" s="25" t="s">
        <v>2</v>
      </c>
      <c r="U65" s="19">
        <f>$C$31*($U$34+($AC$34-$AB$34)*$U$34)*6*168</f>
        <v>2848608.0000000014</v>
      </c>
      <c r="V65" s="211">
        <f>D31*(U34+(AC34-AB34)*U34)*6*168</f>
        <v>2848608.0000000014</v>
      </c>
      <c r="W65" s="96"/>
    </row>
    <row r="66" spans="1:23" hidden="1">
      <c r="A66" s="24" t="s">
        <v>5</v>
      </c>
      <c r="B66" s="25">
        <v>10</v>
      </c>
      <c r="C66" s="6">
        <f>$F$10</f>
        <v>70</v>
      </c>
      <c r="D66" s="6">
        <f>$F$11</f>
        <v>60</v>
      </c>
      <c r="E66" s="315">
        <f>$F$12</f>
        <v>0</v>
      </c>
      <c r="F66" s="5">
        <f>C66+D66+E66</f>
        <v>130</v>
      </c>
      <c r="G66" s="5">
        <v>7.0000000000000007E-2</v>
      </c>
      <c r="H66" s="5">
        <f>B66*F66*G66</f>
        <v>91.000000000000014</v>
      </c>
      <c r="I66" s="190">
        <f>E124*1.33^($H$16)/(1.6^($B$20/2))</f>
        <v>185550.01788779217</v>
      </c>
      <c r="J66" s="10">
        <f>I66/H66</f>
        <v>2039.0111855801335</v>
      </c>
      <c r="K66" s="10">
        <f>J66*10/60/24</f>
        <v>14.159799899862039</v>
      </c>
      <c r="L66" s="118"/>
      <c r="M66" s="559"/>
      <c r="N66" s="556"/>
      <c r="O66" s="556"/>
      <c r="P66" s="560"/>
      <c r="Q66" s="26"/>
      <c r="S66" s="24"/>
      <c r="T66" s="25" t="s">
        <v>3</v>
      </c>
      <c r="U66" s="19">
        <f>$C$32*($U$35+($AC$35-$AB$35)*$U$35)*6*168</f>
        <v>3454920</v>
      </c>
      <c r="V66" s="211">
        <f>D32*(U35+(AC35-0)*U35)*6*168</f>
        <v>4690224</v>
      </c>
      <c r="W66" s="96"/>
    </row>
    <row r="67" spans="1:23" hidden="1">
      <c r="A67" s="24" t="s">
        <v>6</v>
      </c>
      <c r="B67" s="25">
        <v>9</v>
      </c>
      <c r="C67" s="6">
        <f>$G$10</f>
        <v>60</v>
      </c>
      <c r="D67" s="6">
        <f>$G$11</f>
        <v>60</v>
      </c>
      <c r="E67" s="315">
        <f>$G$12</f>
        <v>0</v>
      </c>
      <c r="F67" s="5">
        <f>C67+D67+E67</f>
        <v>120</v>
      </c>
      <c r="G67" s="5"/>
      <c r="H67" s="5">
        <f>B67*F67*G67</f>
        <v>0</v>
      </c>
      <c r="I67" s="190">
        <f>F124*1.33^($H$16)/(1.6^($B$20/2))</f>
        <v>18457.855182555242</v>
      </c>
      <c r="J67" s="10" t="e">
        <f>I67/H67</f>
        <v>#DIV/0!</v>
      </c>
      <c r="K67" s="10" t="e">
        <f>J67*10/60/24</f>
        <v>#DIV/0!</v>
      </c>
      <c r="L67" s="118"/>
      <c r="M67" s="559"/>
      <c r="N67" s="556"/>
      <c r="O67" s="556"/>
      <c r="P67" s="560"/>
      <c r="Q67" s="26"/>
      <c r="S67" s="24"/>
      <c r="T67" s="25" t="s">
        <v>4</v>
      </c>
      <c r="U67" s="19">
        <f>$C$33*($U$36+($AC$36-$AB$36)*$U$36)*6*168</f>
        <v>4047321.6</v>
      </c>
      <c r="V67" s="211">
        <f>D33*(U36+(AC36-AB36)*U36)*6*168</f>
        <v>3469132.8000000003</v>
      </c>
      <c r="W67" s="96"/>
    </row>
    <row r="68" spans="1:23" hidden="1">
      <c r="A68" s="24"/>
      <c r="B68" s="25"/>
      <c r="C68" s="78"/>
      <c r="D68" s="78"/>
      <c r="E68" s="301"/>
      <c r="F68" s="25"/>
      <c r="G68" s="25"/>
      <c r="H68" s="25"/>
      <c r="I68" s="191"/>
      <c r="J68" s="118"/>
      <c r="K68" s="118"/>
      <c r="L68" s="118"/>
      <c r="M68" s="292"/>
      <c r="N68" s="293"/>
      <c r="O68" s="293"/>
      <c r="P68" s="294"/>
      <c r="Q68" s="26"/>
      <c r="S68" s="24"/>
      <c r="T68" s="25" t="s">
        <v>5</v>
      </c>
      <c r="U68" s="19">
        <f>$C$34*($U$37+($AC$37-0)*$U$37)*6*168</f>
        <v>3655008.0000000005</v>
      </c>
      <c r="V68" s="211">
        <f>D34*(U37+(AC37-AB37)*U37)*6*168</f>
        <v>2890944.0000000005</v>
      </c>
      <c r="W68" s="96"/>
    </row>
    <row r="69" spans="1:23" hidden="1">
      <c r="A69" s="122" t="s">
        <v>699</v>
      </c>
      <c r="B69" s="25"/>
      <c r="C69" s="25"/>
      <c r="D69" s="25"/>
      <c r="E69" s="239"/>
      <c r="F69" s="25"/>
      <c r="G69" s="25"/>
      <c r="H69" s="25"/>
      <c r="I69" s="25"/>
      <c r="J69" s="118"/>
      <c r="K69" s="118"/>
      <c r="L69" s="118"/>
      <c r="M69" s="558" t="s">
        <v>22</v>
      </c>
      <c r="N69" s="558"/>
      <c r="O69" s="558"/>
      <c r="P69" s="558"/>
      <c r="Q69" s="26"/>
      <c r="S69" s="24"/>
      <c r="T69" s="25" t="s">
        <v>6</v>
      </c>
      <c r="U69" s="19">
        <f>$C$35*($U$38+($AC$38-0)*$U$38)*6*168</f>
        <v>2781475.2</v>
      </c>
      <c r="V69" s="211">
        <f>D35*(U38+(AC38-0)*U38)*6*168</f>
        <v>2781475.2</v>
      </c>
      <c r="W69" s="96"/>
    </row>
    <row r="70" spans="1:23" hidden="1">
      <c r="A70" s="129" t="s">
        <v>1</v>
      </c>
      <c r="B70" s="130" t="s">
        <v>7</v>
      </c>
      <c r="C70" s="3" t="s">
        <v>8</v>
      </c>
      <c r="D70" s="3" t="s">
        <v>9</v>
      </c>
      <c r="E70" s="314" t="s">
        <v>27</v>
      </c>
      <c r="F70" s="3" t="s">
        <v>10</v>
      </c>
      <c r="G70" s="3" t="s">
        <v>11</v>
      </c>
      <c r="H70" s="3" t="s">
        <v>14</v>
      </c>
      <c r="I70" s="3" t="s">
        <v>13</v>
      </c>
      <c r="J70" s="9" t="s">
        <v>15</v>
      </c>
      <c r="K70" s="9" t="s">
        <v>16</v>
      </c>
      <c r="L70" s="118"/>
      <c r="M70" s="9" t="s">
        <v>23</v>
      </c>
      <c r="N70" s="9" t="s">
        <v>24</v>
      </c>
      <c r="O70" s="9" t="s">
        <v>15</v>
      </c>
      <c r="P70" s="9" t="s">
        <v>25</v>
      </c>
      <c r="Q70" s="26"/>
      <c r="S70" s="24"/>
      <c r="T70" s="25"/>
      <c r="U70" s="25"/>
      <c r="V70" s="26"/>
      <c r="W70" s="96"/>
    </row>
    <row r="71" spans="1:23" hidden="1">
      <c r="A71" s="24" t="s">
        <v>2</v>
      </c>
      <c r="B71" s="25">
        <v>10</v>
      </c>
      <c r="C71" s="6">
        <f>$C$10</f>
        <v>60</v>
      </c>
      <c r="D71" s="6">
        <f>$C$11</f>
        <v>60</v>
      </c>
      <c r="E71" s="315">
        <f>$C$12</f>
        <v>0</v>
      </c>
      <c r="F71" s="5">
        <f>C71+D71+E71</f>
        <v>120</v>
      </c>
      <c r="G71" s="5"/>
      <c r="H71" s="5">
        <f>B71*F71*G71</f>
        <v>0</v>
      </c>
      <c r="I71" s="190">
        <f>B125*1.33^($F$16)/(1.6^($B$20/2))</f>
        <v>89111.924506202617</v>
      </c>
      <c r="J71" s="10" t="e">
        <f>I71/H71</f>
        <v>#DIV/0!</v>
      </c>
      <c r="K71" s="10" t="e">
        <f>J71*10/60/24</f>
        <v>#DIV/0!</v>
      </c>
      <c r="L71" s="118"/>
      <c r="M71" s="559">
        <f>I71*$C$7+$D$7*I72+$E$7*I73+$F$7*I74+$G$7*I75</f>
        <v>743427.18657715584</v>
      </c>
      <c r="N71" s="556">
        <f>$C$7*H71+$D$7*H72+$E$7*H73+$F$7*H74+$G$7*H75</f>
        <v>164.80800000000002</v>
      </c>
      <c r="O71" s="556">
        <f>M71/N71</f>
        <v>4510.868323001042</v>
      </c>
      <c r="P71" s="560">
        <f>O71*10/60/24</f>
        <v>31.325474465285016</v>
      </c>
      <c r="Q71" s="26"/>
      <c r="S71" s="24"/>
      <c r="T71" s="25" t="s">
        <v>22</v>
      </c>
      <c r="U71" s="19">
        <f>U65*W42+X42*U66+U67*Y42+Z42*U68+U69*AA42</f>
        <v>35275399.488000005</v>
      </c>
      <c r="V71" s="20">
        <f>V65*W42+X42*V66+V67*Y42+Z42*V68+V69*AA42</f>
        <v>33239529.792000003</v>
      </c>
      <c r="W71" s="96"/>
    </row>
    <row r="72" spans="1:23" ht="15.75" hidden="1" thickBot="1">
      <c r="A72" s="24" t="s">
        <v>3</v>
      </c>
      <c r="B72" s="25">
        <v>15</v>
      </c>
      <c r="C72" s="6">
        <f>$D$10</f>
        <v>50</v>
      </c>
      <c r="D72" s="6">
        <f>$D$11</f>
        <v>60</v>
      </c>
      <c r="E72" s="315">
        <f>$D$12</f>
        <v>0</v>
      </c>
      <c r="F72" s="5">
        <f>C72+D72+E72</f>
        <v>110</v>
      </c>
      <c r="G72" s="5"/>
      <c r="H72" s="5">
        <f>B72*F72*G72</f>
        <v>0</v>
      </c>
      <c r="I72" s="190">
        <f>C125*1.33^($F$16)/(1.6^($B$20/2))</f>
        <v>92764.052559735501</v>
      </c>
      <c r="J72" s="10" t="e">
        <f>I72/H72</f>
        <v>#DIV/0!</v>
      </c>
      <c r="K72" s="10" t="e">
        <f>J72*10/60/24</f>
        <v>#DIV/0!</v>
      </c>
      <c r="L72" s="118"/>
      <c r="M72" s="559"/>
      <c r="N72" s="556"/>
      <c r="O72" s="556"/>
      <c r="P72" s="560"/>
      <c r="Q72" s="26"/>
      <c r="S72" s="126"/>
      <c r="T72" s="108"/>
      <c r="U72" s="108"/>
      <c r="V72" s="56"/>
      <c r="W72" s="96"/>
    </row>
    <row r="73" spans="1:23" hidden="1">
      <c r="A73" s="24" t="s">
        <v>4</v>
      </c>
      <c r="B73" s="25">
        <v>12</v>
      </c>
      <c r="C73" s="6">
        <f>$E$10</f>
        <v>70</v>
      </c>
      <c r="D73" s="6">
        <f>$E$11</f>
        <v>60</v>
      </c>
      <c r="E73" s="315">
        <f>$E$12</f>
        <v>0</v>
      </c>
      <c r="F73" s="5">
        <f>C73+D73+E73</f>
        <v>130</v>
      </c>
      <c r="G73" s="5"/>
      <c r="H73" s="5">
        <f>B73*F73*G73</f>
        <v>0</v>
      </c>
      <c r="I73" s="190">
        <f>D125*1.33^($F$16)/(1.6^($B$20/2))</f>
        <v>117598.52332375917</v>
      </c>
      <c r="J73" s="10" t="e">
        <f>I73/H73</f>
        <v>#DIV/0!</v>
      </c>
      <c r="K73" s="10" t="e">
        <f>J73*10/60/24</f>
        <v>#DIV/0!</v>
      </c>
      <c r="L73" s="118"/>
      <c r="M73" s="559"/>
      <c r="N73" s="556"/>
      <c r="O73" s="556"/>
      <c r="P73" s="560"/>
      <c r="Q73" s="26"/>
      <c r="S73" s="24"/>
      <c r="T73" s="25"/>
      <c r="U73" s="19"/>
      <c r="V73" s="211"/>
      <c r="W73" s="96"/>
    </row>
    <row r="74" spans="1:23" hidden="1">
      <c r="A74" s="24" t="s">
        <v>5</v>
      </c>
      <c r="B74" s="25">
        <v>10</v>
      </c>
      <c r="C74" s="6">
        <f>$F$10</f>
        <v>70</v>
      </c>
      <c r="D74" s="6">
        <f>$F$11</f>
        <v>60</v>
      </c>
      <c r="E74" s="315">
        <f>$F$12</f>
        <v>0</v>
      </c>
      <c r="F74" s="5">
        <f>C74+D74+E74</f>
        <v>130</v>
      </c>
      <c r="G74" s="5"/>
      <c r="H74" s="5">
        <f>B74*F74*G74</f>
        <v>0</v>
      </c>
      <c r="I74" s="190">
        <f>E125*1.33^($F$16)/(1.6^($B$20/2))</f>
        <v>13147.660992718418</v>
      </c>
      <c r="J74" s="10" t="e">
        <f>I74/H74</f>
        <v>#DIV/0!</v>
      </c>
      <c r="K74" s="10" t="e">
        <f>J74*10/60/24</f>
        <v>#DIV/0!</v>
      </c>
      <c r="L74" s="118"/>
      <c r="M74" s="559"/>
      <c r="N74" s="556"/>
      <c r="O74" s="556"/>
      <c r="P74" s="560"/>
      <c r="Q74" s="26"/>
      <c r="S74" s="24"/>
      <c r="T74" s="25"/>
      <c r="U74" s="19"/>
      <c r="V74" s="211"/>
      <c r="W74" s="96"/>
    </row>
    <row r="75" spans="1:23" hidden="1">
      <c r="A75" s="24" t="s">
        <v>6</v>
      </c>
      <c r="B75" s="25">
        <v>9</v>
      </c>
      <c r="C75" s="6">
        <f>$G$10</f>
        <v>60</v>
      </c>
      <c r="D75" s="6">
        <f>$G$11</f>
        <v>60</v>
      </c>
      <c r="E75" s="315">
        <f>$G$12</f>
        <v>0</v>
      </c>
      <c r="F75" s="5">
        <f>C75+D75+E75</f>
        <v>120</v>
      </c>
      <c r="G75" s="5">
        <v>7.0000000000000007E-2</v>
      </c>
      <c r="H75" s="5">
        <f>B75*F75*G75</f>
        <v>75.600000000000009</v>
      </c>
      <c r="I75" s="190">
        <f>F125*1.33^($F$16)/(1.6^($B$20/2))</f>
        <v>52590.643970873673</v>
      </c>
      <c r="J75" s="10">
        <f>I75/H75</f>
        <v>695.6434387681702</v>
      </c>
      <c r="K75" s="10">
        <f>J75*10/60/24</f>
        <v>4.8308572136678487</v>
      </c>
      <c r="L75" s="118"/>
      <c r="M75" s="559"/>
      <c r="N75" s="556"/>
      <c r="O75" s="556"/>
      <c r="P75" s="560"/>
      <c r="Q75" s="26"/>
      <c r="S75" s="24"/>
      <c r="T75" s="25"/>
      <c r="U75" s="19"/>
      <c r="V75" s="211"/>
      <c r="W75" s="96"/>
    </row>
    <row r="76" spans="1:23" hidden="1">
      <c r="A76" s="24"/>
      <c r="B76" s="25"/>
      <c r="C76" s="25"/>
      <c r="D76" s="25"/>
      <c r="E76" s="239"/>
      <c r="F76" s="25"/>
      <c r="G76" s="25"/>
      <c r="H76" s="25"/>
      <c r="I76" s="25"/>
      <c r="J76" s="118"/>
      <c r="K76" s="118"/>
      <c r="L76" s="118"/>
      <c r="M76" s="118"/>
      <c r="N76" s="118"/>
      <c r="O76" s="118"/>
      <c r="P76" s="118"/>
      <c r="Q76" s="26"/>
      <c r="W76" s="96"/>
    </row>
    <row r="77" spans="1:23" hidden="1">
      <c r="A77" s="122" t="s">
        <v>26</v>
      </c>
      <c r="B77" s="25"/>
      <c r="C77" s="25"/>
      <c r="D77" s="25"/>
      <c r="E77" s="239"/>
      <c r="F77" s="25"/>
      <c r="G77" s="25"/>
      <c r="H77" s="25"/>
      <c r="I77" s="25"/>
      <c r="J77" s="118"/>
      <c r="K77" s="118"/>
      <c r="L77" s="118"/>
      <c r="M77" s="558" t="s">
        <v>22</v>
      </c>
      <c r="N77" s="558"/>
      <c r="O77" s="558"/>
      <c r="P77" s="558"/>
      <c r="Q77" s="26"/>
      <c r="W77" s="96"/>
    </row>
    <row r="78" spans="1:23" ht="31.5" hidden="1" customHeight="1">
      <c r="A78" s="129" t="s">
        <v>1</v>
      </c>
      <c r="B78" s="130" t="s">
        <v>7</v>
      </c>
      <c r="C78" s="3" t="s">
        <v>8</v>
      </c>
      <c r="D78" s="3" t="s">
        <v>9</v>
      </c>
      <c r="E78" s="314" t="s">
        <v>27</v>
      </c>
      <c r="F78" s="3" t="s">
        <v>10</v>
      </c>
      <c r="G78" s="3" t="s">
        <v>11</v>
      </c>
      <c r="H78" s="3" t="s">
        <v>14</v>
      </c>
      <c r="I78" s="11" t="s">
        <v>28</v>
      </c>
      <c r="J78" s="9" t="s">
        <v>15</v>
      </c>
      <c r="K78" s="9" t="s">
        <v>16</v>
      </c>
      <c r="L78" s="118"/>
      <c r="M78" s="9" t="s">
        <v>23</v>
      </c>
      <c r="N78" s="9" t="s">
        <v>24</v>
      </c>
      <c r="O78" s="9" t="s">
        <v>15</v>
      </c>
      <c r="P78" s="9" t="s">
        <v>25</v>
      </c>
      <c r="Q78" s="26"/>
    </row>
    <row r="79" spans="1:23" hidden="1">
      <c r="A79" s="24" t="s">
        <v>2</v>
      </c>
      <c r="B79" s="25">
        <v>10</v>
      </c>
      <c r="C79" s="6">
        <f>$C$10</f>
        <v>60</v>
      </c>
      <c r="D79" s="6">
        <f>$C$11</f>
        <v>60</v>
      </c>
      <c r="E79" s="315">
        <f>$C$12</f>
        <v>0</v>
      </c>
      <c r="F79" s="5">
        <f>C79+D79+E79</f>
        <v>120</v>
      </c>
      <c r="G79" s="5">
        <v>7.0000000000000007E-2</v>
      </c>
      <c r="H79" s="5">
        <f>B79*F79*G79</f>
        <v>84.000000000000014</v>
      </c>
      <c r="I79" s="190">
        <f>(B126*1.2^($G$19+1))*(1-$E$20)</f>
        <v>200612.26008575995</v>
      </c>
      <c r="J79" s="10">
        <f>I79/H79</f>
        <v>2388.2411914971417</v>
      </c>
      <c r="K79" s="10">
        <f>J79*10/60/24</f>
        <v>16.585008274285705</v>
      </c>
      <c r="L79" s="118"/>
      <c r="M79" s="559">
        <f>I79*$C$7+$D$7*I80+$E$7*I81+$F$7*I82+$G$7*I83</f>
        <v>1736336.2614607869</v>
      </c>
      <c r="N79" s="556">
        <f>$C$7*H79+$D$7*H80+$E$7*H81+$F$7*H82+$G$7*H83</f>
        <v>974.16200000000003</v>
      </c>
      <c r="O79" s="556">
        <f>M79/N79</f>
        <v>1782.3896451111693</v>
      </c>
      <c r="P79" s="560">
        <f>O79*10/60/24</f>
        <v>12.377705868827563</v>
      </c>
      <c r="Q79" s="26"/>
      <c r="W79" s="96"/>
    </row>
    <row r="80" spans="1:23" hidden="1">
      <c r="A80" s="24" t="s">
        <v>3</v>
      </c>
      <c r="B80" s="25">
        <v>15</v>
      </c>
      <c r="C80" s="6">
        <f>$D$10</f>
        <v>50</v>
      </c>
      <c r="D80" s="6">
        <f>$D$11</f>
        <v>60</v>
      </c>
      <c r="E80" s="315">
        <f>$D$12</f>
        <v>0</v>
      </c>
      <c r="F80" s="5">
        <f>C80+D80+E80</f>
        <v>110</v>
      </c>
      <c r="G80" s="5">
        <v>7.0000000000000007E-2</v>
      </c>
      <c r="H80" s="5">
        <f>B80*F80*G80</f>
        <v>115.50000000000001</v>
      </c>
      <c r="I80" s="190">
        <f>(C126*1.2^($G$19+1))*(1-$E$20)</f>
        <v>111451.25560319998</v>
      </c>
      <c r="J80" s="10">
        <f>I80/H80</f>
        <v>964.94593595844128</v>
      </c>
      <c r="K80" s="10">
        <f>J80*10/60/24</f>
        <v>6.7010134441558415</v>
      </c>
      <c r="L80" s="118"/>
      <c r="M80" s="559"/>
      <c r="N80" s="556"/>
      <c r="O80" s="556"/>
      <c r="P80" s="560"/>
      <c r="Q80" s="26"/>
    </row>
    <row r="81" spans="1:23" hidden="1">
      <c r="A81" s="24" t="s">
        <v>4</v>
      </c>
      <c r="B81" s="25">
        <v>12</v>
      </c>
      <c r="C81" s="6">
        <f>$E$10</f>
        <v>70</v>
      </c>
      <c r="D81" s="6">
        <f>$E$11</f>
        <v>60</v>
      </c>
      <c r="E81" s="315">
        <f>$E$12</f>
        <v>0</v>
      </c>
      <c r="F81" s="5">
        <f>C81+D81+E81</f>
        <v>130</v>
      </c>
      <c r="G81" s="5">
        <v>7.0000000000000007E-2</v>
      </c>
      <c r="H81" s="5">
        <f>B81*F81*G81</f>
        <v>109.20000000000002</v>
      </c>
      <c r="I81" s="190">
        <f>(D126*1.2^($G$19+1))*(1-$E$20)</f>
        <v>185752.09267199997</v>
      </c>
      <c r="J81" s="10">
        <f>I81/H81</f>
        <v>1701.0264896703291</v>
      </c>
      <c r="K81" s="10">
        <f>J81*10/60/24</f>
        <v>11.812683956043953</v>
      </c>
      <c r="L81" s="118"/>
      <c r="M81" s="559"/>
      <c r="N81" s="556"/>
      <c r="O81" s="556"/>
      <c r="P81" s="560"/>
      <c r="Q81" s="26"/>
    </row>
    <row r="82" spans="1:23" hidden="1">
      <c r="A82" s="24" t="s">
        <v>5</v>
      </c>
      <c r="B82" s="25">
        <v>10</v>
      </c>
      <c r="C82" s="6">
        <f>$F$10</f>
        <v>70</v>
      </c>
      <c r="D82" s="6">
        <f>$F$11</f>
        <v>60</v>
      </c>
      <c r="E82" s="315">
        <f>$F$12</f>
        <v>0</v>
      </c>
      <c r="F82" s="5">
        <f>C82+D82+E82</f>
        <v>130</v>
      </c>
      <c r="G82" s="5">
        <v>7.0000000000000007E-2</v>
      </c>
      <c r="H82" s="5">
        <f>B82*F82*G82</f>
        <v>91.000000000000014</v>
      </c>
      <c r="I82" s="190">
        <f>(E126*1.2^($G$19+1))*(1-$E$20)</f>
        <v>185752.09267199997</v>
      </c>
      <c r="J82" s="10">
        <f>I82/H82</f>
        <v>2041.2317876043949</v>
      </c>
      <c r="K82" s="10">
        <f>J82*10/60/24</f>
        <v>14.175220747252743</v>
      </c>
      <c r="L82" s="118"/>
      <c r="M82" s="559"/>
      <c r="N82" s="556"/>
      <c r="O82" s="556"/>
      <c r="P82" s="560"/>
      <c r="Q82" s="26"/>
      <c r="V82" s="555" t="s">
        <v>694</v>
      </c>
      <c r="W82" s="555" t="s">
        <v>695</v>
      </c>
    </row>
    <row r="83" spans="1:23" hidden="1">
      <c r="A83" s="24" t="s">
        <v>6</v>
      </c>
      <c r="B83" s="25">
        <v>9</v>
      </c>
      <c r="C83" s="6">
        <f>$G$10</f>
        <v>60</v>
      </c>
      <c r="D83" s="6">
        <f>$G$11</f>
        <v>60</v>
      </c>
      <c r="E83" s="315">
        <f>$G$12</f>
        <v>0</v>
      </c>
      <c r="F83" s="5">
        <f>C83+D83+E83</f>
        <v>120</v>
      </c>
      <c r="G83" s="5">
        <v>7.0000000000000007E-2</v>
      </c>
      <c r="H83" s="5">
        <f>B83*F83*G83</f>
        <v>75.600000000000009</v>
      </c>
      <c r="I83" s="190">
        <f>(F126*1.2^($G$19+1))*(1-$E$20)</f>
        <v>104021.17189632</v>
      </c>
      <c r="J83" s="10">
        <f>I83/H83</f>
        <v>1375.9414271999999</v>
      </c>
      <c r="K83" s="10">
        <f>J83*10/60/24</f>
        <v>9.5551487999999996</v>
      </c>
      <c r="L83" s="118"/>
      <c r="M83" s="559"/>
      <c r="N83" s="556"/>
      <c r="O83" s="556"/>
      <c r="P83" s="560"/>
      <c r="Q83" s="26"/>
      <c r="V83" s="555"/>
      <c r="W83" s="555"/>
    </row>
    <row r="84" spans="1:23" ht="15.75" hidden="1" thickBot="1">
      <c r="A84" s="126"/>
      <c r="B84" s="108"/>
      <c r="C84" s="108"/>
      <c r="D84" s="108"/>
      <c r="E84" s="108"/>
      <c r="F84" s="108"/>
      <c r="G84" s="108"/>
      <c r="H84" s="108"/>
      <c r="I84" s="108"/>
      <c r="J84" s="127"/>
      <c r="K84" s="127"/>
      <c r="L84" s="127"/>
      <c r="M84" s="127"/>
      <c r="N84" s="127"/>
      <c r="O84" s="127"/>
      <c r="P84" s="127"/>
      <c r="Q84" s="56"/>
      <c r="U84" t="s">
        <v>59</v>
      </c>
      <c r="V84" s="555"/>
      <c r="W84" s="555"/>
    </row>
    <row r="85" spans="1:23" hidden="1">
      <c r="T85" s="77" t="s">
        <v>500</v>
      </c>
      <c r="U85" s="77">
        <f>U17</f>
        <v>1</v>
      </c>
      <c r="V85">
        <v>10</v>
      </c>
      <c r="W85">
        <f>U85*V85</f>
        <v>10</v>
      </c>
    </row>
    <row r="86" spans="1:23" hidden="1">
      <c r="T86" s="77" t="s">
        <v>692</v>
      </c>
      <c r="U86">
        <f>U18</f>
        <v>36</v>
      </c>
      <c r="V86">
        <v>1</v>
      </c>
      <c r="W86">
        <f>U86*V86</f>
        <v>36</v>
      </c>
    </row>
    <row r="87" spans="1:23" hidden="1">
      <c r="V87" s="214" t="s">
        <v>651</v>
      </c>
      <c r="W87">
        <f>SUM(W85:W86)</f>
        <v>46</v>
      </c>
    </row>
    <row r="88" spans="1:23" ht="15.75" hidden="1" thickBot="1">
      <c r="T88" s="78" t="s">
        <v>693</v>
      </c>
      <c r="U88" s="298">
        <f>100/(100-$W$87)</f>
        <v>1.8518518518518519</v>
      </c>
    </row>
    <row r="89" spans="1:23" hidden="1">
      <c r="A89" s="119"/>
      <c r="B89" s="120"/>
      <c r="C89" s="120"/>
      <c r="D89" s="120"/>
      <c r="E89" s="120"/>
      <c r="F89" s="120"/>
      <c r="G89" s="120"/>
      <c r="H89" s="120"/>
      <c r="I89" s="120"/>
      <c r="J89" s="121"/>
      <c r="K89" s="121"/>
      <c r="L89" s="121"/>
      <c r="M89" s="121"/>
      <c r="N89" s="121"/>
      <c r="O89" s="121"/>
      <c r="P89" s="121"/>
      <c r="Q89" s="44"/>
    </row>
    <row r="90" spans="1:23" hidden="1">
      <c r="A90" s="24" t="s">
        <v>480</v>
      </c>
      <c r="B90" s="25"/>
      <c r="C90" s="25"/>
      <c r="D90" s="25"/>
      <c r="E90" s="25"/>
      <c r="F90" s="25"/>
      <c r="G90" s="25"/>
      <c r="H90" s="25"/>
      <c r="I90" s="25"/>
      <c r="J90" s="118"/>
      <c r="K90" s="118"/>
      <c r="L90" s="118"/>
      <c r="M90" s="118"/>
      <c r="N90" s="118"/>
      <c r="O90" s="118"/>
      <c r="P90" s="118"/>
      <c r="Q90" s="26"/>
    </row>
    <row r="91" spans="1:23" hidden="1">
      <c r="A91" s="24"/>
      <c r="B91" s="25"/>
      <c r="C91" s="25"/>
      <c r="D91" s="25"/>
      <c r="E91" s="25"/>
      <c r="F91" s="25"/>
      <c r="G91" s="25"/>
      <c r="H91" s="25"/>
      <c r="I91" s="25"/>
      <c r="J91" s="118"/>
      <c r="K91" s="118"/>
      <c r="L91" s="118"/>
      <c r="M91" s="118"/>
      <c r="N91" s="118"/>
      <c r="O91" s="118"/>
      <c r="P91" s="118"/>
      <c r="Q91" s="26"/>
    </row>
    <row r="92" spans="1:23" hidden="1">
      <c r="A92" s="24"/>
      <c r="B92" s="25"/>
      <c r="C92" s="25"/>
      <c r="D92" s="25"/>
      <c r="E92" s="25"/>
      <c r="F92" s="25"/>
      <c r="G92" s="25"/>
      <c r="H92" s="25"/>
      <c r="I92" s="25"/>
      <c r="J92" s="118"/>
      <c r="K92" s="118"/>
      <c r="L92" s="118"/>
      <c r="M92" s="118"/>
      <c r="N92" s="118"/>
      <c r="O92" s="118"/>
      <c r="P92" s="118"/>
      <c r="Q92" s="26"/>
    </row>
    <row r="93" spans="1:23" hidden="1">
      <c r="A93" s="24"/>
      <c r="B93" s="5" t="s">
        <v>468</v>
      </c>
      <c r="C93" s="5" t="s">
        <v>12</v>
      </c>
      <c r="D93" s="5" t="s">
        <v>17</v>
      </c>
      <c r="E93" s="5" t="s">
        <v>18</v>
      </c>
      <c r="F93" s="5" t="s">
        <v>19</v>
      </c>
      <c r="G93" s="5" t="s">
        <v>20</v>
      </c>
      <c r="H93" s="5" t="s">
        <v>699</v>
      </c>
      <c r="I93" s="25"/>
      <c r="J93" s="118"/>
      <c r="K93" s="118"/>
      <c r="L93" s="118"/>
      <c r="M93" s="118"/>
      <c r="N93" s="118"/>
      <c r="O93" s="118"/>
      <c r="P93" s="118"/>
      <c r="Q93" s="26"/>
    </row>
    <row r="94" spans="1:23" hidden="1">
      <c r="A94" s="24"/>
      <c r="B94" s="6">
        <v>7.0000000000000007E-2</v>
      </c>
      <c r="C94" s="6">
        <v>7.0000000000000007E-2</v>
      </c>
      <c r="D94" s="6">
        <v>7.0000000000000007E-2</v>
      </c>
      <c r="E94" s="6">
        <v>7.0000000000000007E-2</v>
      </c>
      <c r="F94" s="6">
        <v>0.02</v>
      </c>
      <c r="G94" s="6">
        <v>7.0000000000000007E-2</v>
      </c>
      <c r="H94" s="6">
        <v>7.0000000000000007E-2</v>
      </c>
      <c r="I94" s="78"/>
      <c r="J94" s="118"/>
      <c r="K94" s="118"/>
      <c r="L94" s="118"/>
      <c r="M94" s="118"/>
      <c r="N94" s="118"/>
      <c r="O94" s="118"/>
      <c r="P94" s="118"/>
      <c r="Q94" s="26"/>
    </row>
    <row r="95" spans="1:23" hidden="1">
      <c r="A95" s="24"/>
      <c r="B95" s="190">
        <f>G19</f>
        <v>9</v>
      </c>
      <c r="C95" s="6">
        <f>C16</f>
        <v>34</v>
      </c>
      <c r="D95" s="6">
        <f>D16</f>
        <v>32</v>
      </c>
      <c r="E95" s="6">
        <f>E16</f>
        <v>35</v>
      </c>
      <c r="F95" s="6">
        <f>G16</f>
        <v>35</v>
      </c>
      <c r="G95" s="6">
        <f>H16</f>
        <v>35</v>
      </c>
      <c r="H95" s="6">
        <f>F16</f>
        <v>34</v>
      </c>
      <c r="I95" s="78"/>
      <c r="J95" s="118"/>
      <c r="K95" s="118"/>
      <c r="L95" s="118"/>
      <c r="M95" s="118"/>
      <c r="N95" s="118"/>
      <c r="O95" s="118"/>
      <c r="P95" s="118"/>
      <c r="Q95" s="26"/>
    </row>
    <row r="96" spans="1:23" hidden="1">
      <c r="A96" s="24"/>
      <c r="B96" s="25"/>
      <c r="C96" s="25"/>
      <c r="D96" s="25"/>
      <c r="E96" s="25"/>
      <c r="F96" s="25"/>
      <c r="G96" s="25"/>
      <c r="H96" s="25"/>
      <c r="I96" s="118"/>
      <c r="J96" s="118"/>
      <c r="K96" s="118"/>
      <c r="L96" s="118"/>
      <c r="M96" s="118"/>
      <c r="N96" s="118"/>
      <c r="O96" s="118"/>
      <c r="P96" s="118"/>
      <c r="Q96" s="26"/>
    </row>
    <row r="97" spans="1:17" hidden="1">
      <c r="A97" s="24"/>
      <c r="B97" s="25"/>
      <c r="C97" s="25"/>
      <c r="D97" s="25"/>
      <c r="E97" s="25"/>
      <c r="F97" s="25"/>
      <c r="G97" s="25"/>
      <c r="H97" s="25"/>
      <c r="I97" s="118"/>
      <c r="J97" s="118"/>
      <c r="K97" s="118"/>
      <c r="L97" s="118"/>
      <c r="M97" s="118"/>
      <c r="N97" s="118"/>
      <c r="O97" s="118"/>
      <c r="P97" s="118"/>
      <c r="Q97" s="26"/>
    </row>
    <row r="98" spans="1:17" hidden="1">
      <c r="A98" s="122" t="s">
        <v>690</v>
      </c>
      <c r="B98" s="25"/>
      <c r="C98" s="25"/>
      <c r="D98" s="25"/>
      <c r="E98" s="25"/>
      <c r="F98" s="25"/>
      <c r="G98" s="25"/>
      <c r="H98" s="25"/>
      <c r="I98" s="118"/>
      <c r="J98" s="118"/>
      <c r="K98" s="118"/>
      <c r="L98" s="118"/>
      <c r="M98" s="113" t="s">
        <v>22</v>
      </c>
      <c r="N98" s="113"/>
      <c r="O98" s="113"/>
      <c r="P98" s="113"/>
      <c r="Q98" s="123"/>
    </row>
    <row r="99" spans="1:17" hidden="1">
      <c r="A99" s="124" t="s">
        <v>1</v>
      </c>
      <c r="B99" s="3" t="s">
        <v>7</v>
      </c>
      <c r="C99" s="25"/>
      <c r="D99" s="25"/>
      <c r="E99" s="3" t="s">
        <v>466</v>
      </c>
      <c r="F99" s="3" t="s">
        <v>469</v>
      </c>
      <c r="G99" s="3" t="s">
        <v>467</v>
      </c>
      <c r="H99" s="3" t="s">
        <v>14</v>
      </c>
      <c r="I99" s="3" t="s">
        <v>13</v>
      </c>
      <c r="J99" s="9" t="s">
        <v>15</v>
      </c>
      <c r="K99" s="9" t="s">
        <v>16</v>
      </c>
      <c r="L99" s="118"/>
      <c r="M99" s="9" t="s">
        <v>23</v>
      </c>
      <c r="N99" s="9" t="s">
        <v>24</v>
      </c>
      <c r="O99" s="9" t="s">
        <v>15</v>
      </c>
      <c r="P99" s="9" t="s">
        <v>25</v>
      </c>
      <c r="Q99" s="26"/>
    </row>
    <row r="100" spans="1:17" hidden="1">
      <c r="A100" s="125" t="s">
        <v>2</v>
      </c>
      <c r="B100" s="6">
        <v>10</v>
      </c>
      <c r="C100" s="25"/>
      <c r="D100" s="25"/>
      <c r="E100" s="6">
        <f>N15</f>
        <v>5</v>
      </c>
      <c r="F100" s="6">
        <f>IF(J21=1,0.4,IF(J21=6,0.25,0))</f>
        <v>0.25</v>
      </c>
      <c r="G100" s="6">
        <f>$C$95*$C$94+$F$95*$F$94+$B$94*$B$95+F100</f>
        <v>3.9600000000000009</v>
      </c>
      <c r="H100" s="5">
        <f>E100*B100*(1+G100)</f>
        <v>248.00000000000006</v>
      </c>
      <c r="I100" s="190">
        <f>$B$127*1.8^($J$16+1)</f>
        <v>2914548.7463182644</v>
      </c>
      <c r="J100" s="10">
        <f>I100/H100</f>
        <v>11752.212686767192</v>
      </c>
      <c r="K100" s="10">
        <f>J100*10/60/24</f>
        <v>81.612588102549935</v>
      </c>
      <c r="L100" s="118"/>
      <c r="M100" s="559">
        <f>I100*$C$7+$D$7*I101+$E$7*I102+$F$7*I103+$G$7*I104</f>
        <v>26232153.112175342</v>
      </c>
      <c r="N100" s="563">
        <f>$C$7*H100+$D$7*H101+$E$7*H102+$F$7*H103+$G$7*H104</f>
        <v>2443.1870000000004</v>
      </c>
      <c r="O100" s="563">
        <f>M100/N100</f>
        <v>10736.858501692805</v>
      </c>
      <c r="P100" s="560">
        <f>O100*10/60/24</f>
        <v>74.561517372866703</v>
      </c>
      <c r="Q100" s="26"/>
    </row>
    <row r="101" spans="1:17" hidden="1">
      <c r="A101" s="125" t="s">
        <v>3</v>
      </c>
      <c r="B101" s="6">
        <v>15</v>
      </c>
      <c r="C101" s="25"/>
      <c r="D101" s="25"/>
      <c r="E101" s="6">
        <f>N16</f>
        <v>0</v>
      </c>
      <c r="F101" s="6">
        <f>IF(J21=2,0.6,IF(J21=6,0.25,0))</f>
        <v>0.25</v>
      </c>
      <c r="G101" s="6">
        <f>$B$94*$B$95+$C$94*$C$95+$D$94*$D$95+$F$94*$F$95+F101</f>
        <v>6.2000000000000011</v>
      </c>
      <c r="H101" s="5">
        <f>E101*B101*(1+G101)</f>
        <v>0</v>
      </c>
      <c r="I101" s="190">
        <f>$C$127*1.8^($J$16+1)</f>
        <v>850076.71767616039</v>
      </c>
      <c r="J101" s="10" t="e">
        <f>I101/H101</f>
        <v>#DIV/0!</v>
      </c>
      <c r="K101" s="10" t="e">
        <f>J101*10/60/24</f>
        <v>#DIV/0!</v>
      </c>
      <c r="L101" s="118"/>
      <c r="M101" s="559"/>
      <c r="N101" s="564"/>
      <c r="O101" s="564"/>
      <c r="P101" s="560"/>
      <c r="Q101" s="26"/>
    </row>
    <row r="102" spans="1:17" hidden="1">
      <c r="A102" s="125" t="s">
        <v>4</v>
      </c>
      <c r="B102" s="6">
        <v>12</v>
      </c>
      <c r="C102" s="25"/>
      <c r="D102" s="25"/>
      <c r="E102" s="6">
        <f>N17</f>
        <v>5</v>
      </c>
      <c r="F102" s="6">
        <f>IF(J21=3,0.4,IF(J21=6,0.25,0))</f>
        <v>0.25</v>
      </c>
      <c r="G102" s="6">
        <f>$B$94*$B$95+$E$94*$E$95+$F$94*$F$95+F102</f>
        <v>4.03</v>
      </c>
      <c r="H102" s="5">
        <f>E102*B102*(1+G102)</f>
        <v>301.8</v>
      </c>
      <c r="I102" s="190">
        <f>$D$127*1.8^($J$16+1)</f>
        <v>3521746.401801236</v>
      </c>
      <c r="J102" s="10">
        <f>I102/H102</f>
        <v>11669.139833668774</v>
      </c>
      <c r="K102" s="10">
        <f>J102*10/60/24</f>
        <v>81.035693289366478</v>
      </c>
      <c r="L102" s="118"/>
      <c r="M102" s="559"/>
      <c r="N102" s="564"/>
      <c r="O102" s="564"/>
      <c r="P102" s="560"/>
      <c r="Q102" s="26"/>
    </row>
    <row r="103" spans="1:17" hidden="1">
      <c r="A103" s="125" t="s">
        <v>5</v>
      </c>
      <c r="B103" s="6">
        <v>10</v>
      </c>
      <c r="C103" s="25"/>
      <c r="D103" s="25"/>
      <c r="E103" s="6">
        <f>N18</f>
        <v>5</v>
      </c>
      <c r="F103" s="6">
        <f>IF(J21=4,0.4,IF(J21=6,0.25,0))</f>
        <v>0.25</v>
      </c>
      <c r="G103" s="6">
        <f>$B$94*$B$95+$F$94*$F$95+$G$94*$G$95+F103</f>
        <v>4.03</v>
      </c>
      <c r="H103" s="5">
        <f>E103*B103*(1+G103)</f>
        <v>251.5</v>
      </c>
      <c r="I103" s="190">
        <f>$E$127*1.8^($J$16+1)</f>
        <v>2550230.1530284812</v>
      </c>
      <c r="J103" s="10">
        <f>I103/H103</f>
        <v>10140.080131325969</v>
      </c>
      <c r="K103" s="10">
        <f>J103*10/60/24</f>
        <v>70.417223134208129</v>
      </c>
      <c r="L103" s="118"/>
      <c r="M103" s="559"/>
      <c r="N103" s="564"/>
      <c r="O103" s="564"/>
      <c r="P103" s="560"/>
      <c r="Q103" s="26"/>
    </row>
    <row r="104" spans="1:17" hidden="1">
      <c r="A104" s="125" t="s">
        <v>6</v>
      </c>
      <c r="B104" s="6">
        <v>9</v>
      </c>
      <c r="C104" s="25"/>
      <c r="D104" s="25"/>
      <c r="E104" s="6">
        <f>N19</f>
        <v>5</v>
      </c>
      <c r="F104" s="6">
        <f>IF(J21=5,0.4,IF(J21=6,0.25,0))</f>
        <v>0.25</v>
      </c>
      <c r="G104" s="6">
        <f>$B$94*$B$95+$C$94*$C$95+$F$94*$F$95+F104</f>
        <v>3.9600000000000009</v>
      </c>
      <c r="H104" s="5">
        <f>E104*B104*(1+G104)</f>
        <v>223.20000000000005</v>
      </c>
      <c r="I104" s="190">
        <f>$F$127*1.8^($J$16+1)</f>
        <v>1578713.9042557266</v>
      </c>
      <c r="J104" s="10">
        <f>I104/H104</f>
        <v>7073.0909688876627</v>
      </c>
      <c r="K104" s="10">
        <f>J104*10/60/24</f>
        <v>49.118687283942101</v>
      </c>
      <c r="L104" s="118"/>
      <c r="M104" s="559"/>
      <c r="N104" s="565"/>
      <c r="O104" s="565"/>
      <c r="P104" s="560"/>
      <c r="Q104" s="26"/>
    </row>
    <row r="105" spans="1:17" ht="15.75" hidden="1" thickBot="1">
      <c r="A105" s="126"/>
      <c r="B105" s="108"/>
      <c r="C105" s="108"/>
      <c r="D105" s="108"/>
      <c r="E105" s="108"/>
      <c r="F105" s="108"/>
      <c r="G105" s="108"/>
      <c r="H105" s="108"/>
      <c r="I105" s="108"/>
      <c r="J105" s="127"/>
      <c r="K105" s="127"/>
      <c r="L105" s="127"/>
      <c r="M105" s="127"/>
      <c r="N105" s="127"/>
      <c r="O105" s="127"/>
      <c r="P105" s="127"/>
      <c r="Q105" s="56"/>
    </row>
    <row r="106" spans="1:17" hidden="1">
      <c r="A106" s="25"/>
      <c r="B106" s="25"/>
      <c r="C106" s="25"/>
      <c r="D106" s="25"/>
      <c r="E106" s="25"/>
      <c r="F106" s="25"/>
      <c r="G106" s="25"/>
      <c r="H106" s="25"/>
      <c r="I106" s="25"/>
      <c r="J106" s="118"/>
      <c r="K106" s="118"/>
      <c r="L106" s="118"/>
      <c r="M106" s="118"/>
      <c r="N106" s="118"/>
      <c r="O106" s="118"/>
      <c r="P106" s="118"/>
      <c r="Q106" s="25"/>
    </row>
    <row r="107" spans="1:17" hidden="1">
      <c r="A107" s="122" t="s">
        <v>726</v>
      </c>
      <c r="B107" s="25"/>
      <c r="C107" s="25"/>
      <c r="D107" s="25"/>
      <c r="E107" s="25"/>
      <c r="F107" s="25"/>
      <c r="G107" s="25"/>
      <c r="H107" s="25"/>
      <c r="I107" s="118"/>
      <c r="J107" s="118"/>
      <c r="K107" s="118"/>
      <c r="L107" s="118"/>
      <c r="M107" s="113" t="s">
        <v>22</v>
      </c>
      <c r="N107" s="113"/>
      <c r="O107" s="113"/>
      <c r="P107" s="113"/>
      <c r="Q107" s="25"/>
    </row>
    <row r="108" spans="1:17" hidden="1">
      <c r="A108" s="124" t="s">
        <v>1</v>
      </c>
      <c r="B108" s="3" t="s">
        <v>7</v>
      </c>
      <c r="C108" s="25"/>
      <c r="D108" s="25"/>
      <c r="E108" s="3" t="s">
        <v>466</v>
      </c>
      <c r="F108" s="3" t="s">
        <v>469</v>
      </c>
      <c r="G108" s="3" t="s">
        <v>467</v>
      </c>
      <c r="H108" s="3" t="s">
        <v>14</v>
      </c>
      <c r="I108" s="3" t="s">
        <v>13</v>
      </c>
      <c r="J108" s="9" t="s">
        <v>15</v>
      </c>
      <c r="K108" s="9" t="s">
        <v>16</v>
      </c>
      <c r="L108" s="118"/>
      <c r="M108" s="9" t="s">
        <v>23</v>
      </c>
      <c r="N108" s="9" t="s">
        <v>24</v>
      </c>
      <c r="O108" s="9" t="s">
        <v>15</v>
      </c>
      <c r="P108" s="9" t="s">
        <v>25</v>
      </c>
      <c r="Q108" s="25"/>
    </row>
    <row r="109" spans="1:17" hidden="1">
      <c r="A109" s="125" t="s">
        <v>2</v>
      </c>
      <c r="B109" s="6">
        <v>10</v>
      </c>
      <c r="C109" s="25"/>
      <c r="D109" s="25"/>
      <c r="E109" s="6">
        <f>O15</f>
        <v>6</v>
      </c>
      <c r="F109" s="6">
        <f>IF(J22=1,0.4,IF(J22=6,0.25,0))</f>
        <v>0.25</v>
      </c>
      <c r="G109" s="6">
        <f>$C$95*$C$94+$F$95*$F$94+$B$94*$B$95+F109</f>
        <v>3.9600000000000009</v>
      </c>
      <c r="H109" s="5">
        <f>E109*B109*(1+G109)</f>
        <v>297.60000000000002</v>
      </c>
      <c r="I109" s="190">
        <f>$B$127*1.8^($J$17+1)</f>
        <v>2914548.7463182644</v>
      </c>
      <c r="J109" s="10">
        <f>I109/H109</f>
        <v>9793.5105723059951</v>
      </c>
      <c r="K109" s="10">
        <f>J109*10/60/24</f>
        <v>68.010490085458301</v>
      </c>
      <c r="L109" s="118"/>
      <c r="M109" s="559">
        <f>I109*$C$7+$D$7*I110+$E$7*I111+$F$7*I112+$G$7*I113</f>
        <v>26232153.112175342</v>
      </c>
      <c r="N109" s="563">
        <f>$C$7*H109+$D$7*H110+$E$7*H111+$F$7*H112+$G$7*H113</f>
        <v>2435.8008</v>
      </c>
      <c r="O109" s="563">
        <f>M109/N109</f>
        <v>10769.41641212013</v>
      </c>
      <c r="P109" s="560">
        <f>O109*10/60/24</f>
        <v>74.787613973056466</v>
      </c>
      <c r="Q109" s="25"/>
    </row>
    <row r="110" spans="1:17" hidden="1">
      <c r="A110" s="125" t="s">
        <v>3</v>
      </c>
      <c r="B110" s="6">
        <v>15</v>
      </c>
      <c r="C110" s="25"/>
      <c r="D110" s="25"/>
      <c r="E110" s="6">
        <f>O16</f>
        <v>0</v>
      </c>
      <c r="F110" s="6">
        <f>IF(J22=2,0.6,IF(J22=6,0.25,0))</f>
        <v>0.25</v>
      </c>
      <c r="G110" s="6">
        <f>$B$94*$B$95+$C$94*$C$95+$D$94*$D$95+$F$94*$F$95+F110</f>
        <v>6.2000000000000011</v>
      </c>
      <c r="H110" s="5">
        <f>E110*B110*(1+G110)</f>
        <v>0</v>
      </c>
      <c r="I110" s="190">
        <f>$C$127*1.8^($J$17+1)</f>
        <v>850076.71767616039</v>
      </c>
      <c r="J110" s="10" t="e">
        <f>I110/H110</f>
        <v>#DIV/0!</v>
      </c>
      <c r="K110" s="10" t="e">
        <f>J110*10/60/24</f>
        <v>#DIV/0!</v>
      </c>
      <c r="L110" s="118"/>
      <c r="M110" s="559"/>
      <c r="N110" s="564"/>
      <c r="O110" s="564"/>
      <c r="P110" s="560"/>
    </row>
    <row r="111" spans="1:17" hidden="1">
      <c r="A111" s="125" t="s">
        <v>4</v>
      </c>
      <c r="B111" s="6">
        <v>12</v>
      </c>
      <c r="C111" s="25"/>
      <c r="D111" s="25"/>
      <c r="E111" s="6">
        <f>O17</f>
        <v>7</v>
      </c>
      <c r="F111" s="6">
        <f>IF(J22=3,0.4,IF(J22=6,0.25,0))</f>
        <v>0.25</v>
      </c>
      <c r="G111" s="6">
        <f>$B$94*$B$95+$E$94*$E$95+$F$94*$F$95+F111</f>
        <v>4.03</v>
      </c>
      <c r="H111" s="5">
        <f>E111*B111*(1+G111)</f>
        <v>422.52000000000004</v>
      </c>
      <c r="I111" s="190">
        <f>$D$127*1.8^($J$17+1)</f>
        <v>3521746.401801236</v>
      </c>
      <c r="J111" s="10">
        <f>I111/H111</f>
        <v>8335.0998811919799</v>
      </c>
      <c r="K111" s="10">
        <f>J111*10/60/24</f>
        <v>57.882638063833191</v>
      </c>
      <c r="L111" s="118"/>
      <c r="M111" s="559"/>
      <c r="N111" s="564"/>
      <c r="O111" s="564"/>
      <c r="P111" s="560"/>
    </row>
    <row r="112" spans="1:17" hidden="1">
      <c r="A112" s="125" t="s">
        <v>5</v>
      </c>
      <c r="B112" s="6">
        <v>10</v>
      </c>
      <c r="C112" s="25"/>
      <c r="D112" s="25"/>
      <c r="E112" s="6">
        <f>O18</f>
        <v>0</v>
      </c>
      <c r="F112" s="6">
        <f>IF(J22=4,0.4,IF(J22=6,0.25,0))</f>
        <v>0.25</v>
      </c>
      <c r="G112" s="6">
        <f>$B$94*$B$95+$F$94*$F$95+$G$94*$G$95+F112</f>
        <v>4.03</v>
      </c>
      <c r="H112" s="5">
        <f>E112*B112*(1+G112)</f>
        <v>0</v>
      </c>
      <c r="I112" s="190">
        <f>$E$127*1.8^($J$17+1)</f>
        <v>2550230.1530284812</v>
      </c>
      <c r="J112" s="10" t="e">
        <f>I112/H112</f>
        <v>#DIV/0!</v>
      </c>
      <c r="K112" s="10" t="e">
        <f>J112*10/60/24</f>
        <v>#DIV/0!</v>
      </c>
      <c r="L112" s="118"/>
      <c r="M112" s="559"/>
      <c r="N112" s="564"/>
      <c r="O112" s="564"/>
      <c r="P112" s="560"/>
    </row>
    <row r="113" spans="1:16" hidden="1">
      <c r="A113" s="125" t="s">
        <v>6</v>
      </c>
      <c r="B113" s="6">
        <v>9</v>
      </c>
      <c r="C113" s="25"/>
      <c r="D113" s="25"/>
      <c r="E113" s="6">
        <f>O19</f>
        <v>7</v>
      </c>
      <c r="F113" s="6">
        <f>IF(J22=5,0.4,IF(J22=6,0.25,0))</f>
        <v>0.25</v>
      </c>
      <c r="G113" s="6">
        <f>$B$94*$B$95+$C$94*$C$95+$F$94*$F$95+F113</f>
        <v>3.9600000000000009</v>
      </c>
      <c r="H113" s="5">
        <f>E113*B113*(1+G113)</f>
        <v>312.48000000000008</v>
      </c>
      <c r="I113" s="190">
        <f>$F$127*1.8^($J$17+1)</f>
        <v>1578713.9042557266</v>
      </c>
      <c r="J113" s="10">
        <f>I113/H113</f>
        <v>5052.2078349197591</v>
      </c>
      <c r="K113" s="10">
        <f>J113*10/60/24</f>
        <v>35.084776631387214</v>
      </c>
      <c r="L113" s="118"/>
      <c r="M113" s="559"/>
      <c r="N113" s="565"/>
      <c r="O113" s="565"/>
      <c r="P113" s="560"/>
    </row>
    <row r="114" spans="1:16" hidden="1">
      <c r="A114" s="78"/>
      <c r="B114" s="78"/>
      <c r="C114" s="25"/>
      <c r="D114" s="25"/>
      <c r="E114" s="78"/>
      <c r="F114" s="78"/>
      <c r="G114" s="78"/>
      <c r="H114" s="25"/>
      <c r="I114" s="191"/>
      <c r="J114" s="118"/>
      <c r="K114" s="118"/>
      <c r="L114" s="118"/>
      <c r="M114" s="292"/>
      <c r="N114" s="293"/>
      <c r="O114" s="293"/>
      <c r="P114" s="294"/>
    </row>
    <row r="115" spans="1:16" hidden="1">
      <c r="A115" s="78"/>
      <c r="B115" s="78"/>
      <c r="C115" s="25"/>
      <c r="D115" s="25"/>
      <c r="E115" s="78"/>
      <c r="F115" s="78"/>
      <c r="G115" s="78"/>
      <c r="H115" s="25"/>
      <c r="I115" s="191"/>
      <c r="J115" s="118"/>
      <c r="K115" s="118"/>
      <c r="L115" s="118"/>
      <c r="M115" s="292"/>
      <c r="N115" s="293"/>
      <c r="O115" s="293"/>
      <c r="P115" s="294"/>
    </row>
    <row r="116" spans="1:16" hidden="1">
      <c r="A116" s="78"/>
      <c r="B116" s="78"/>
      <c r="C116" s="25"/>
      <c r="D116" s="25"/>
      <c r="E116" s="78"/>
      <c r="F116" s="78"/>
      <c r="G116" s="78"/>
      <c r="H116" s="25"/>
      <c r="I116" s="191"/>
      <c r="J116" s="118"/>
      <c r="K116" s="118"/>
      <c r="L116" s="118"/>
      <c r="M116" s="292"/>
      <c r="N116" s="293"/>
      <c r="O116" s="293"/>
      <c r="P116" s="294"/>
    </row>
    <row r="117" spans="1:16" hidden="1">
      <c r="A117" s="78"/>
      <c r="B117" s="78"/>
      <c r="C117" s="25"/>
      <c r="D117" s="25"/>
      <c r="E117" s="78"/>
      <c r="F117" s="78"/>
      <c r="G117" s="78"/>
      <c r="H117" s="25"/>
      <c r="I117" s="191"/>
      <c r="J117" s="118"/>
      <c r="K117" s="118"/>
      <c r="L117" s="118"/>
      <c r="M117" s="292"/>
      <c r="N117" s="293"/>
      <c r="O117" s="293"/>
      <c r="P117" s="294"/>
    </row>
    <row r="118" spans="1:16" hidden="1">
      <c r="I118" t="s">
        <v>434</v>
      </c>
      <c r="J118" s="8" t="s">
        <v>435</v>
      </c>
    </row>
    <row r="119" spans="1:16" ht="30" hidden="1">
      <c r="A119" s="182" t="s">
        <v>492</v>
      </c>
      <c r="B119" t="s">
        <v>630</v>
      </c>
      <c r="C119" t="s">
        <v>631</v>
      </c>
      <c r="D119" t="s">
        <v>632</v>
      </c>
      <c r="E119" t="s">
        <v>633</v>
      </c>
      <c r="F119" t="s">
        <v>634</v>
      </c>
      <c r="H119" s="93" t="s">
        <v>59</v>
      </c>
      <c r="I119" s="97" t="s">
        <v>436</v>
      </c>
      <c r="J119" s="97" t="s">
        <v>436</v>
      </c>
    </row>
    <row r="120" spans="1:16" hidden="1">
      <c r="A120" t="s">
        <v>12</v>
      </c>
      <c r="B120">
        <v>760</v>
      </c>
      <c r="C120">
        <v>490</v>
      </c>
      <c r="D120">
        <v>1160</v>
      </c>
      <c r="E120">
        <v>2120</v>
      </c>
      <c r="F120">
        <v>470</v>
      </c>
      <c r="I120" s="92"/>
      <c r="J120" s="92"/>
      <c r="K120" s="191"/>
      <c r="L120" s="191"/>
      <c r="M120" s="191"/>
      <c r="N120" s="191"/>
    </row>
    <row r="121" spans="1:16" hidden="1">
      <c r="A121" t="s">
        <v>17</v>
      </c>
      <c r="B121">
        <v>1040</v>
      </c>
      <c r="C121">
        <v>940</v>
      </c>
      <c r="D121">
        <v>810</v>
      </c>
      <c r="E121">
        <v>1420</v>
      </c>
      <c r="F121">
        <v>790</v>
      </c>
      <c r="H121">
        <v>1</v>
      </c>
      <c r="I121" s="98">
        <f>220/(H121+17)</f>
        <v>12.222222222222221</v>
      </c>
      <c r="J121" s="98">
        <f>240/(H121+19)</f>
        <v>12</v>
      </c>
      <c r="K121" s="191"/>
      <c r="L121" s="191"/>
      <c r="M121" s="191"/>
      <c r="N121" s="191"/>
    </row>
    <row r="122" spans="1:16" hidden="1">
      <c r="A122" t="s">
        <v>18</v>
      </c>
      <c r="B122">
        <v>750</v>
      </c>
      <c r="C122">
        <v>610</v>
      </c>
      <c r="D122">
        <v>1450</v>
      </c>
      <c r="E122">
        <v>1780</v>
      </c>
      <c r="F122">
        <v>410</v>
      </c>
      <c r="H122">
        <v>2</v>
      </c>
      <c r="I122" s="98">
        <f t="shared" ref="I122:I160" si="1">220/(H122+17)</f>
        <v>11.578947368421053</v>
      </c>
      <c r="J122" s="98">
        <f t="shared" ref="J122:J160" si="2">240/(H122+19)</f>
        <v>11.428571428571429</v>
      </c>
      <c r="K122" s="191"/>
      <c r="L122" s="191"/>
      <c r="M122" s="191"/>
      <c r="N122" s="191"/>
    </row>
    <row r="123" spans="1:16" hidden="1">
      <c r="A123" t="s">
        <v>19</v>
      </c>
      <c r="B123">
        <v>920</v>
      </c>
      <c r="C123">
        <v>1120</v>
      </c>
      <c r="D123">
        <v>1010</v>
      </c>
      <c r="E123">
        <v>970</v>
      </c>
      <c r="F123">
        <v>980</v>
      </c>
      <c r="H123">
        <v>3</v>
      </c>
      <c r="I123" s="98">
        <f t="shared" si="1"/>
        <v>11</v>
      </c>
      <c r="J123" s="98">
        <f t="shared" si="2"/>
        <v>10.909090909090908</v>
      </c>
      <c r="K123" s="191"/>
      <c r="L123" s="191"/>
      <c r="M123" s="191"/>
      <c r="N123" s="191"/>
    </row>
    <row r="124" spans="1:16" hidden="1">
      <c r="A124" t="s">
        <v>20</v>
      </c>
      <c r="B124">
        <v>640</v>
      </c>
      <c r="C124">
        <v>760</v>
      </c>
      <c r="D124">
        <v>1500</v>
      </c>
      <c r="E124">
        <v>1910</v>
      </c>
      <c r="F124">
        <v>190</v>
      </c>
      <c r="H124">
        <v>4</v>
      </c>
      <c r="I124" s="98">
        <f t="shared" si="1"/>
        <v>10.476190476190476</v>
      </c>
      <c r="J124" s="98">
        <f t="shared" si="2"/>
        <v>10.434782608695652</v>
      </c>
      <c r="K124" s="191"/>
      <c r="L124" s="191"/>
      <c r="M124" s="191"/>
      <c r="N124" s="191"/>
    </row>
    <row r="125" spans="1:16" hidden="1">
      <c r="A125" t="s">
        <v>699</v>
      </c>
      <c r="B125">
        <v>1220</v>
      </c>
      <c r="C125">
        <v>1270</v>
      </c>
      <c r="D125">
        <v>1610</v>
      </c>
      <c r="E125">
        <v>180</v>
      </c>
      <c r="F125">
        <v>720</v>
      </c>
      <c r="H125">
        <v>5</v>
      </c>
      <c r="I125" s="98">
        <f t="shared" si="1"/>
        <v>10</v>
      </c>
      <c r="J125" s="98">
        <f t="shared" si="2"/>
        <v>10</v>
      </c>
      <c r="K125" s="191"/>
      <c r="L125" s="191"/>
      <c r="M125" s="191"/>
      <c r="N125" s="191"/>
    </row>
    <row r="126" spans="1:16" hidden="1">
      <c r="A126" t="s">
        <v>468</v>
      </c>
      <c r="B126">
        <v>54000</v>
      </c>
      <c r="C126">
        <v>30000</v>
      </c>
      <c r="D126">
        <v>50000</v>
      </c>
      <c r="E126">
        <v>50000</v>
      </c>
      <c r="F126">
        <v>28000</v>
      </c>
      <c r="H126">
        <v>6</v>
      </c>
      <c r="I126" s="98">
        <f t="shared" si="1"/>
        <v>9.5652173913043477</v>
      </c>
      <c r="J126" s="98">
        <f t="shared" si="2"/>
        <v>9.6</v>
      </c>
    </row>
    <row r="127" spans="1:16" hidden="1">
      <c r="A127" t="s">
        <v>465</v>
      </c>
      <c r="B127">
        <v>240</v>
      </c>
      <c r="C127">
        <v>70</v>
      </c>
      <c r="D127">
        <v>290</v>
      </c>
      <c r="E127">
        <v>210</v>
      </c>
      <c r="F127">
        <v>130</v>
      </c>
      <c r="H127">
        <v>7</v>
      </c>
      <c r="I127" s="98">
        <f t="shared" si="1"/>
        <v>9.1666666666666661</v>
      </c>
      <c r="J127" s="98">
        <f t="shared" si="2"/>
        <v>9.2307692307692299</v>
      </c>
    </row>
    <row r="128" spans="1:16" hidden="1">
      <c r="H128">
        <v>8</v>
      </c>
      <c r="I128" s="98">
        <f t="shared" si="1"/>
        <v>8.8000000000000007</v>
      </c>
      <c r="J128" s="98">
        <f t="shared" si="2"/>
        <v>8.8888888888888893</v>
      </c>
    </row>
    <row r="129" spans="1:10" hidden="1">
      <c r="A129" t="s">
        <v>434</v>
      </c>
      <c r="B129">
        <v>1400</v>
      </c>
      <c r="C129">
        <v>1500</v>
      </c>
      <c r="D129">
        <v>2200</v>
      </c>
      <c r="E129">
        <v>200</v>
      </c>
      <c r="F129">
        <v>2900</v>
      </c>
      <c r="H129">
        <v>9</v>
      </c>
      <c r="I129" s="98">
        <f t="shared" si="1"/>
        <v>8.4615384615384617</v>
      </c>
      <c r="J129" s="98">
        <f t="shared" si="2"/>
        <v>8.5714285714285712</v>
      </c>
    </row>
    <row r="130" spans="1:10" hidden="1">
      <c r="A130" t="s">
        <v>435</v>
      </c>
      <c r="B130">
        <v>3300</v>
      </c>
      <c r="C130">
        <v>2800</v>
      </c>
      <c r="D130">
        <v>1100</v>
      </c>
      <c r="E130">
        <v>1500</v>
      </c>
      <c r="F130">
        <v>1300</v>
      </c>
      <c r="H130">
        <v>10</v>
      </c>
      <c r="I130" s="98">
        <f t="shared" si="1"/>
        <v>8.1481481481481488</v>
      </c>
      <c r="J130" s="98">
        <f t="shared" si="2"/>
        <v>8.2758620689655178</v>
      </c>
    </row>
    <row r="131" spans="1:10" hidden="1">
      <c r="H131">
        <v>11</v>
      </c>
      <c r="I131" s="98">
        <f t="shared" si="1"/>
        <v>7.8571428571428568</v>
      </c>
      <c r="J131" s="98">
        <f t="shared" si="2"/>
        <v>8</v>
      </c>
    </row>
    <row r="132" spans="1:10" hidden="1">
      <c r="H132">
        <v>12</v>
      </c>
      <c r="I132" s="98">
        <f t="shared" si="1"/>
        <v>7.5862068965517242</v>
      </c>
      <c r="J132" s="98">
        <f t="shared" si="2"/>
        <v>7.741935483870968</v>
      </c>
    </row>
    <row r="133" spans="1:10" hidden="1">
      <c r="H133">
        <v>13</v>
      </c>
      <c r="I133" s="98">
        <f t="shared" si="1"/>
        <v>7.333333333333333</v>
      </c>
      <c r="J133" s="98">
        <f t="shared" si="2"/>
        <v>7.5</v>
      </c>
    </row>
    <row r="134" spans="1:10" hidden="1">
      <c r="H134">
        <v>14</v>
      </c>
      <c r="I134" s="98">
        <f t="shared" si="1"/>
        <v>7.096774193548387</v>
      </c>
      <c r="J134" s="98">
        <f t="shared" si="2"/>
        <v>7.2727272727272725</v>
      </c>
    </row>
    <row r="135" spans="1:10" hidden="1">
      <c r="H135">
        <v>15</v>
      </c>
      <c r="I135" s="98">
        <f t="shared" si="1"/>
        <v>6.875</v>
      </c>
      <c r="J135" s="98">
        <f t="shared" si="2"/>
        <v>7.0588235294117645</v>
      </c>
    </row>
    <row r="136" spans="1:10" hidden="1">
      <c r="H136">
        <v>16</v>
      </c>
      <c r="I136" s="98">
        <f t="shared" si="1"/>
        <v>6.666666666666667</v>
      </c>
      <c r="J136" s="98">
        <f t="shared" si="2"/>
        <v>6.8571428571428568</v>
      </c>
    </row>
    <row r="137" spans="1:10" hidden="1">
      <c r="H137">
        <v>17</v>
      </c>
      <c r="I137" s="98">
        <f t="shared" si="1"/>
        <v>6.4705882352941178</v>
      </c>
      <c r="J137" s="98">
        <f t="shared" si="2"/>
        <v>6.666666666666667</v>
      </c>
    </row>
    <row r="138" spans="1:10" hidden="1">
      <c r="H138">
        <v>18</v>
      </c>
      <c r="I138" s="98">
        <f t="shared" si="1"/>
        <v>6.2857142857142856</v>
      </c>
      <c r="J138" s="98">
        <f t="shared" si="2"/>
        <v>6.4864864864864868</v>
      </c>
    </row>
    <row r="139" spans="1:10" hidden="1">
      <c r="H139">
        <v>19</v>
      </c>
      <c r="I139" s="98">
        <f t="shared" si="1"/>
        <v>6.1111111111111107</v>
      </c>
      <c r="J139" s="98">
        <f t="shared" si="2"/>
        <v>6.3157894736842106</v>
      </c>
    </row>
    <row r="140" spans="1:10" hidden="1">
      <c r="H140">
        <v>20</v>
      </c>
      <c r="I140" s="98">
        <f t="shared" si="1"/>
        <v>5.9459459459459456</v>
      </c>
      <c r="J140" s="98">
        <f t="shared" si="2"/>
        <v>6.1538461538461542</v>
      </c>
    </row>
    <row r="141" spans="1:10" hidden="1">
      <c r="H141">
        <v>21</v>
      </c>
      <c r="I141" s="98">
        <f t="shared" si="1"/>
        <v>5.7894736842105265</v>
      </c>
      <c r="J141" s="98">
        <f t="shared" si="2"/>
        <v>6</v>
      </c>
    </row>
    <row r="142" spans="1:10" hidden="1">
      <c r="H142">
        <v>22</v>
      </c>
      <c r="I142" s="98">
        <f t="shared" si="1"/>
        <v>5.6410256410256414</v>
      </c>
      <c r="J142" s="98">
        <f t="shared" si="2"/>
        <v>5.8536585365853657</v>
      </c>
    </row>
    <row r="143" spans="1:10" hidden="1">
      <c r="H143">
        <v>23</v>
      </c>
      <c r="I143" s="98">
        <f t="shared" si="1"/>
        <v>5.5</v>
      </c>
      <c r="J143" s="98">
        <f t="shared" si="2"/>
        <v>5.7142857142857144</v>
      </c>
    </row>
    <row r="144" spans="1:10" hidden="1">
      <c r="H144">
        <v>24</v>
      </c>
      <c r="I144" s="98">
        <f t="shared" si="1"/>
        <v>5.3658536585365857</v>
      </c>
      <c r="J144" s="98">
        <f t="shared" si="2"/>
        <v>5.5813953488372094</v>
      </c>
    </row>
    <row r="145" spans="8:10" hidden="1">
      <c r="H145">
        <v>25</v>
      </c>
      <c r="I145" s="98">
        <f t="shared" si="1"/>
        <v>5.2380952380952381</v>
      </c>
      <c r="J145" s="98">
        <f t="shared" si="2"/>
        <v>5.4545454545454541</v>
      </c>
    </row>
    <row r="146" spans="8:10" hidden="1">
      <c r="H146">
        <v>26</v>
      </c>
      <c r="I146" s="98">
        <f t="shared" si="1"/>
        <v>5.1162790697674421</v>
      </c>
      <c r="J146" s="98">
        <f t="shared" si="2"/>
        <v>5.333333333333333</v>
      </c>
    </row>
    <row r="147" spans="8:10" hidden="1">
      <c r="H147">
        <v>27</v>
      </c>
      <c r="I147" s="98">
        <f t="shared" si="1"/>
        <v>5</v>
      </c>
      <c r="J147" s="98">
        <f t="shared" si="2"/>
        <v>5.2173913043478262</v>
      </c>
    </row>
    <row r="148" spans="8:10" hidden="1">
      <c r="H148">
        <v>28</v>
      </c>
      <c r="I148" s="98">
        <f t="shared" si="1"/>
        <v>4.8888888888888893</v>
      </c>
      <c r="J148" s="98">
        <f t="shared" si="2"/>
        <v>5.1063829787234045</v>
      </c>
    </row>
    <row r="149" spans="8:10" hidden="1">
      <c r="H149">
        <v>29</v>
      </c>
      <c r="I149" s="98">
        <f t="shared" si="1"/>
        <v>4.7826086956521738</v>
      </c>
      <c r="J149" s="98">
        <f t="shared" si="2"/>
        <v>5</v>
      </c>
    </row>
    <row r="150" spans="8:10" hidden="1">
      <c r="H150">
        <v>30</v>
      </c>
      <c r="I150" s="98">
        <f t="shared" si="1"/>
        <v>4.6808510638297873</v>
      </c>
      <c r="J150" s="98">
        <f t="shared" si="2"/>
        <v>4.8979591836734695</v>
      </c>
    </row>
    <row r="151" spans="8:10" hidden="1">
      <c r="H151">
        <v>31</v>
      </c>
      <c r="I151" s="98">
        <f t="shared" si="1"/>
        <v>4.583333333333333</v>
      </c>
      <c r="J151" s="98">
        <f t="shared" si="2"/>
        <v>4.8</v>
      </c>
    </row>
    <row r="152" spans="8:10" hidden="1">
      <c r="H152">
        <v>32</v>
      </c>
      <c r="I152" s="98">
        <f t="shared" si="1"/>
        <v>4.4897959183673466</v>
      </c>
      <c r="J152" s="98">
        <f t="shared" si="2"/>
        <v>4.7058823529411766</v>
      </c>
    </row>
    <row r="153" spans="8:10" hidden="1">
      <c r="H153">
        <v>33</v>
      </c>
      <c r="I153" s="98">
        <f t="shared" si="1"/>
        <v>4.4000000000000004</v>
      </c>
      <c r="J153" s="98">
        <f t="shared" si="2"/>
        <v>4.615384615384615</v>
      </c>
    </row>
    <row r="154" spans="8:10" hidden="1">
      <c r="H154">
        <v>34</v>
      </c>
      <c r="I154" s="98">
        <f t="shared" si="1"/>
        <v>4.3137254901960782</v>
      </c>
      <c r="J154" s="98">
        <f t="shared" si="2"/>
        <v>4.5283018867924527</v>
      </c>
    </row>
    <row r="155" spans="8:10" hidden="1">
      <c r="H155">
        <v>35</v>
      </c>
      <c r="I155" s="98">
        <f t="shared" si="1"/>
        <v>4.2307692307692308</v>
      </c>
      <c r="J155" s="98">
        <f t="shared" si="2"/>
        <v>4.4444444444444446</v>
      </c>
    </row>
    <row r="156" spans="8:10" hidden="1">
      <c r="H156">
        <v>36</v>
      </c>
      <c r="I156" s="98">
        <f t="shared" si="1"/>
        <v>4.1509433962264151</v>
      </c>
      <c r="J156" s="98">
        <f t="shared" si="2"/>
        <v>4.3636363636363633</v>
      </c>
    </row>
    <row r="157" spans="8:10" hidden="1">
      <c r="H157">
        <v>37</v>
      </c>
      <c r="I157" s="98">
        <f t="shared" si="1"/>
        <v>4.0740740740740744</v>
      </c>
      <c r="J157" s="98">
        <f t="shared" si="2"/>
        <v>4.2857142857142856</v>
      </c>
    </row>
    <row r="158" spans="8:10" hidden="1">
      <c r="H158">
        <v>38</v>
      </c>
      <c r="I158" s="98">
        <f t="shared" si="1"/>
        <v>4</v>
      </c>
      <c r="J158" s="98">
        <f t="shared" si="2"/>
        <v>4.2105263157894735</v>
      </c>
    </row>
    <row r="159" spans="8:10" hidden="1">
      <c r="H159">
        <v>39</v>
      </c>
      <c r="I159" s="98">
        <f t="shared" si="1"/>
        <v>3.9285714285714284</v>
      </c>
      <c r="J159" s="98">
        <f t="shared" si="2"/>
        <v>4.1379310344827589</v>
      </c>
    </row>
    <row r="160" spans="8:10" hidden="1">
      <c r="H160">
        <v>40</v>
      </c>
      <c r="I160" s="98">
        <f t="shared" si="1"/>
        <v>3.8596491228070176</v>
      </c>
      <c r="J160" s="98">
        <f t="shared" si="2"/>
        <v>4.0677966101694913</v>
      </c>
    </row>
    <row r="161" hidden="1"/>
    <row r="162" hidden="1"/>
    <row r="163" hidden="1"/>
  </sheetData>
  <mergeCells count="59">
    <mergeCell ref="P109:P113"/>
    <mergeCell ref="N13:O13"/>
    <mergeCell ref="M109:M113"/>
    <mergeCell ref="N109:N113"/>
    <mergeCell ref="O109:O113"/>
    <mergeCell ref="M47:M51"/>
    <mergeCell ref="N47:N51"/>
    <mergeCell ref="O47:O51"/>
    <mergeCell ref="P47:P51"/>
    <mergeCell ref="M53:P53"/>
    <mergeCell ref="M55:M59"/>
    <mergeCell ref="N55:N59"/>
    <mergeCell ref="O55:O59"/>
    <mergeCell ref="P55:P59"/>
    <mergeCell ref="M29:P29"/>
    <mergeCell ref="M31:M35"/>
    <mergeCell ref="AK49:AK53"/>
    <mergeCell ref="AL49:AL53"/>
    <mergeCell ref="AN49:AN50"/>
    <mergeCell ref="AN32:AN33"/>
    <mergeCell ref="AM32:AM36"/>
    <mergeCell ref="AL32:AL36"/>
    <mergeCell ref="AK32:AK36"/>
    <mergeCell ref="AP32:AP36"/>
    <mergeCell ref="AP49:AP53"/>
    <mergeCell ref="AO32:AO36"/>
    <mergeCell ref="AO49:AO53"/>
    <mergeCell ref="AM49:AM53"/>
    <mergeCell ref="AD32:AD33"/>
    <mergeCell ref="O100:O104"/>
    <mergeCell ref="P100:P104"/>
    <mergeCell ref="M45:P45"/>
    <mergeCell ref="M77:P77"/>
    <mergeCell ref="M79:M83"/>
    <mergeCell ref="N79:N83"/>
    <mergeCell ref="O79:O83"/>
    <mergeCell ref="P79:P83"/>
    <mergeCell ref="M100:M104"/>
    <mergeCell ref="N100:N104"/>
    <mergeCell ref="M63:M67"/>
    <mergeCell ref="N63:N67"/>
    <mergeCell ref="O63:O67"/>
    <mergeCell ref="P63:P67"/>
    <mergeCell ref="M61:P61"/>
    <mergeCell ref="V82:V84"/>
    <mergeCell ref="W82:W84"/>
    <mergeCell ref="N31:N35"/>
    <mergeCell ref="O31:O35"/>
    <mergeCell ref="P31:P35"/>
    <mergeCell ref="M37:P37"/>
    <mergeCell ref="M39:M43"/>
    <mergeCell ref="N39:N43"/>
    <mergeCell ref="O39:O43"/>
    <mergeCell ref="P39:P43"/>
    <mergeCell ref="M69:P69"/>
    <mergeCell ref="M71:M75"/>
    <mergeCell ref="N71:N75"/>
    <mergeCell ref="O71:O75"/>
    <mergeCell ref="P71:P7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0"/>
  <sheetViews>
    <sheetView workbookViewId="0"/>
  </sheetViews>
  <sheetFormatPr baseColWidth="10" defaultRowHeight="15"/>
  <cols>
    <col min="1" max="1" width="8.28515625" customWidth="1"/>
    <col min="2" max="2" width="33" customWidth="1"/>
    <col min="3" max="3" width="14.140625" style="532" customWidth="1"/>
    <col min="4" max="4" width="9.140625" customWidth="1"/>
    <col min="5" max="5" width="14.7109375" style="532" customWidth="1"/>
    <col min="6" max="6" width="11.42578125" style="531"/>
    <col min="7" max="7" width="13.42578125" style="68" customWidth="1"/>
  </cols>
  <sheetData>
    <row r="1" spans="1:8" s="93" customFormat="1" ht="45">
      <c r="A1" s="93" t="s">
        <v>806</v>
      </c>
      <c r="B1" s="93" t="s">
        <v>805</v>
      </c>
      <c r="C1" s="535" t="s">
        <v>827</v>
      </c>
      <c r="D1" s="93" t="s">
        <v>807</v>
      </c>
      <c r="E1" s="535" t="s">
        <v>872</v>
      </c>
      <c r="F1" s="530" t="s">
        <v>813</v>
      </c>
      <c r="G1" s="537" t="s">
        <v>837</v>
      </c>
      <c r="H1" s="93" t="s">
        <v>818</v>
      </c>
    </row>
    <row r="2" spans="1:8">
      <c r="A2" s="77">
        <v>1</v>
      </c>
      <c r="B2" s="31" t="s">
        <v>830</v>
      </c>
      <c r="C2" s="536" t="s">
        <v>812</v>
      </c>
      <c r="D2" s="534">
        <v>0</v>
      </c>
      <c r="E2" s="550" t="s">
        <v>812</v>
      </c>
      <c r="G2" s="549"/>
    </row>
    <row r="3" spans="1:8">
      <c r="A3" s="77">
        <v>2</v>
      </c>
      <c r="B3" s="31" t="s">
        <v>831</v>
      </c>
      <c r="C3" s="536" t="s">
        <v>812</v>
      </c>
      <c r="D3" s="534">
        <v>4.027777777777778E-2</v>
      </c>
      <c r="E3" s="550" t="s">
        <v>811</v>
      </c>
      <c r="G3" s="549"/>
    </row>
    <row r="4" spans="1:8">
      <c r="A4" s="77">
        <v>3</v>
      </c>
      <c r="B4" s="497" t="s">
        <v>853</v>
      </c>
      <c r="C4" s="536" t="s">
        <v>812</v>
      </c>
      <c r="D4" s="534">
        <v>0.27777777777777779</v>
      </c>
      <c r="E4" s="550" t="s">
        <v>810</v>
      </c>
      <c r="G4" s="549" t="s">
        <v>843</v>
      </c>
      <c r="H4" t="s">
        <v>819</v>
      </c>
    </row>
    <row r="5" spans="1:8">
      <c r="A5" s="77">
        <v>4</v>
      </c>
      <c r="B5" s="31" t="s">
        <v>832</v>
      </c>
      <c r="C5" s="536" t="s">
        <v>811</v>
      </c>
      <c r="D5" s="534">
        <v>1.1111111111111112E-2</v>
      </c>
      <c r="E5" s="551" t="s">
        <v>808</v>
      </c>
      <c r="G5" s="549" t="s">
        <v>843</v>
      </c>
    </row>
    <row r="6" spans="1:8">
      <c r="A6" s="77">
        <v>5</v>
      </c>
      <c r="B6" s="31" t="s">
        <v>833</v>
      </c>
      <c r="C6" s="536" t="s">
        <v>808</v>
      </c>
      <c r="D6" s="534">
        <v>3.2638888888888891E-2</v>
      </c>
      <c r="E6" s="551" t="s">
        <v>821</v>
      </c>
      <c r="G6" s="549" t="s">
        <v>843</v>
      </c>
    </row>
    <row r="7" spans="1:8">
      <c r="A7">
        <v>6</v>
      </c>
      <c r="B7" s="528" t="s">
        <v>809</v>
      </c>
      <c r="C7" s="536" t="s">
        <v>808</v>
      </c>
      <c r="D7" s="534">
        <v>6.9444444444444441E-3</v>
      </c>
      <c r="E7" s="551" t="s">
        <v>815</v>
      </c>
      <c r="F7" s="552">
        <v>7</v>
      </c>
      <c r="G7" s="549" t="s">
        <v>838</v>
      </c>
    </row>
    <row r="8" spans="1:8">
      <c r="A8">
        <v>7</v>
      </c>
      <c r="B8" s="528" t="s">
        <v>814</v>
      </c>
      <c r="C8" s="536" t="s">
        <v>808</v>
      </c>
      <c r="D8" s="534">
        <v>6.9444444444444441E-3</v>
      </c>
      <c r="E8" s="551" t="s">
        <v>816</v>
      </c>
      <c r="F8" s="552">
        <v>7</v>
      </c>
      <c r="G8" s="549" t="s">
        <v>838</v>
      </c>
    </row>
    <row r="9" spans="1:8">
      <c r="A9">
        <v>8</v>
      </c>
      <c r="B9" s="528" t="s">
        <v>820</v>
      </c>
      <c r="C9" s="536" t="s">
        <v>808</v>
      </c>
      <c r="D9" s="534">
        <v>6.9444444444444441E-3</v>
      </c>
      <c r="E9" s="551" t="s">
        <v>817</v>
      </c>
      <c r="F9" s="552">
        <v>7</v>
      </c>
      <c r="G9" s="549" t="s">
        <v>838</v>
      </c>
    </row>
    <row r="10" spans="1:8">
      <c r="A10">
        <v>9</v>
      </c>
      <c r="B10" s="528" t="s">
        <v>822</v>
      </c>
      <c r="C10" s="532" t="s">
        <v>817</v>
      </c>
      <c r="D10" s="534">
        <v>5.2083333333333336E-2</v>
      </c>
      <c r="E10" s="551" t="s">
        <v>823</v>
      </c>
      <c r="G10" s="549" t="s">
        <v>838</v>
      </c>
    </row>
    <row r="11" spans="1:8">
      <c r="A11">
        <v>10</v>
      </c>
      <c r="B11" s="528" t="s">
        <v>825</v>
      </c>
      <c r="C11" s="532" t="s">
        <v>823</v>
      </c>
      <c r="D11" s="534">
        <v>5.2083333333333336E-2</v>
      </c>
      <c r="E11" s="551" t="s">
        <v>826</v>
      </c>
      <c r="G11" s="549" t="s">
        <v>839</v>
      </c>
    </row>
    <row r="12" spans="1:8">
      <c r="A12">
        <v>11</v>
      </c>
      <c r="B12" s="31" t="s">
        <v>834</v>
      </c>
      <c r="C12" s="532" t="s">
        <v>821</v>
      </c>
      <c r="D12" s="534">
        <v>6.3888888888888884E-2</v>
      </c>
      <c r="E12" s="551" t="s">
        <v>824</v>
      </c>
      <c r="G12" s="549" t="s">
        <v>841</v>
      </c>
    </row>
    <row r="13" spans="1:8">
      <c r="A13">
        <v>12</v>
      </c>
      <c r="B13" s="31" t="s">
        <v>835</v>
      </c>
      <c r="C13" s="532" t="s">
        <v>824</v>
      </c>
      <c r="D13" s="534">
        <v>6.8749999999999992E-2</v>
      </c>
      <c r="E13" s="551" t="s">
        <v>855</v>
      </c>
      <c r="G13" s="549" t="s">
        <v>841</v>
      </c>
    </row>
    <row r="14" spans="1:8">
      <c r="A14">
        <v>13</v>
      </c>
      <c r="B14" s="528" t="s">
        <v>881</v>
      </c>
      <c r="C14" s="532" t="s">
        <v>826</v>
      </c>
      <c r="D14" s="534">
        <v>5.2083333333333336E-2</v>
      </c>
      <c r="E14" s="551" t="s">
        <v>829</v>
      </c>
      <c r="G14" s="549" t="s">
        <v>840</v>
      </c>
    </row>
    <row r="15" spans="1:8">
      <c r="A15">
        <v>14</v>
      </c>
      <c r="B15" s="31" t="s">
        <v>836</v>
      </c>
      <c r="C15" s="532" t="s">
        <v>855</v>
      </c>
      <c r="D15" s="534">
        <v>0.10694444444444444</v>
      </c>
      <c r="E15" s="551" t="s">
        <v>856</v>
      </c>
      <c r="G15" s="549" t="s">
        <v>841</v>
      </c>
    </row>
    <row r="16" spans="1:8">
      <c r="A16">
        <v>15</v>
      </c>
      <c r="B16" s="528" t="s">
        <v>882</v>
      </c>
      <c r="C16" s="532" t="s">
        <v>829</v>
      </c>
      <c r="D16" s="534">
        <v>5.2083333333333336E-2</v>
      </c>
      <c r="E16" s="551" t="s">
        <v>847</v>
      </c>
      <c r="G16" s="549" t="s">
        <v>840</v>
      </c>
    </row>
    <row r="17" spans="1:8">
      <c r="A17">
        <v>16</v>
      </c>
      <c r="B17" s="497" t="s">
        <v>852</v>
      </c>
      <c r="C17" s="536" t="s">
        <v>810</v>
      </c>
      <c r="D17" s="534">
        <v>0.1388888888888889</v>
      </c>
      <c r="E17" s="551" t="s">
        <v>828</v>
      </c>
      <c r="G17" s="549" t="s">
        <v>844</v>
      </c>
    </row>
    <row r="18" spans="1:8">
      <c r="A18">
        <v>17</v>
      </c>
      <c r="B18" s="528" t="s">
        <v>883</v>
      </c>
      <c r="C18" s="532" t="s">
        <v>847</v>
      </c>
      <c r="D18" s="534">
        <v>5.2083333333333336E-2</v>
      </c>
      <c r="E18" s="551" t="s">
        <v>848</v>
      </c>
      <c r="G18" s="549" t="s">
        <v>840</v>
      </c>
    </row>
    <row r="19" spans="1:8">
      <c r="A19">
        <v>18</v>
      </c>
      <c r="B19" s="31" t="s">
        <v>842</v>
      </c>
      <c r="C19" s="532" t="s">
        <v>856</v>
      </c>
      <c r="D19" s="534">
        <v>0.15138888888888888</v>
      </c>
      <c r="E19" s="551" t="s">
        <v>857</v>
      </c>
      <c r="G19" s="549" t="s">
        <v>841</v>
      </c>
    </row>
    <row r="20" spans="1:8">
      <c r="A20">
        <v>19</v>
      </c>
      <c r="B20" s="528" t="s">
        <v>884</v>
      </c>
      <c r="C20" s="532" t="s">
        <v>848</v>
      </c>
      <c r="D20" s="534">
        <v>5.2083333333333336E-2</v>
      </c>
      <c r="E20" s="551" t="s">
        <v>849</v>
      </c>
      <c r="G20" s="549" t="s">
        <v>840</v>
      </c>
    </row>
    <row r="21" spans="1:8">
      <c r="A21">
        <v>20</v>
      </c>
      <c r="B21" s="528" t="s">
        <v>885</v>
      </c>
      <c r="C21" s="532" t="s">
        <v>849</v>
      </c>
      <c r="D21" s="534">
        <v>5.2083333333333336E-2</v>
      </c>
      <c r="E21" s="551" t="s">
        <v>850</v>
      </c>
      <c r="G21" s="549" t="s">
        <v>840</v>
      </c>
      <c r="H21" t="s">
        <v>871</v>
      </c>
    </row>
    <row r="22" spans="1:8">
      <c r="A22">
        <v>21</v>
      </c>
      <c r="B22" s="497" t="s">
        <v>851</v>
      </c>
      <c r="C22" s="532" t="s">
        <v>828</v>
      </c>
      <c r="D22" s="534">
        <v>0.1388888888888889</v>
      </c>
      <c r="E22" s="532" t="s">
        <v>846</v>
      </c>
      <c r="G22" s="68" t="s">
        <v>845</v>
      </c>
    </row>
    <row r="23" spans="1:8">
      <c r="A23">
        <v>22</v>
      </c>
      <c r="B23" s="31" t="s">
        <v>854</v>
      </c>
      <c r="C23" s="532" t="s">
        <v>857</v>
      </c>
      <c r="D23" s="534">
        <v>0.1986111111111111</v>
      </c>
      <c r="E23" s="551" t="s">
        <v>858</v>
      </c>
      <c r="G23" s="68" t="s">
        <v>859</v>
      </c>
    </row>
    <row r="24" spans="1:8">
      <c r="A24">
        <v>23</v>
      </c>
      <c r="B24" s="497" t="s">
        <v>860</v>
      </c>
      <c r="C24" s="532" t="s">
        <v>846</v>
      </c>
      <c r="D24" s="534">
        <v>0.1388888888888889</v>
      </c>
      <c r="E24" s="532" t="s">
        <v>862</v>
      </c>
      <c r="G24" s="68" t="s">
        <v>861</v>
      </c>
    </row>
    <row r="25" spans="1:8">
      <c r="A25">
        <v>24</v>
      </c>
      <c r="B25" s="31" t="s">
        <v>873</v>
      </c>
      <c r="C25" s="532" t="s">
        <v>858</v>
      </c>
      <c r="D25" s="534">
        <v>7.4305555555555555E-2</v>
      </c>
      <c r="E25" s="532" t="s">
        <v>874</v>
      </c>
      <c r="G25" s="68" t="s">
        <v>865</v>
      </c>
    </row>
    <row r="26" spans="1:8">
      <c r="A26">
        <v>25</v>
      </c>
      <c r="B26" s="31" t="s">
        <v>863</v>
      </c>
      <c r="C26" s="532" t="s">
        <v>874</v>
      </c>
      <c r="D26" s="534">
        <v>0.25208333333333333</v>
      </c>
      <c r="E26" s="532" t="s">
        <v>875</v>
      </c>
      <c r="G26" s="68" t="s">
        <v>859</v>
      </c>
    </row>
    <row r="27" spans="1:8">
      <c r="A27">
        <v>26</v>
      </c>
      <c r="B27" s="497" t="s">
        <v>864</v>
      </c>
      <c r="C27" s="532" t="s">
        <v>862</v>
      </c>
      <c r="D27" s="534">
        <v>0.1388888888888889</v>
      </c>
      <c r="E27" s="532" t="s">
        <v>866</v>
      </c>
      <c r="G27" s="68" t="s">
        <v>865</v>
      </c>
    </row>
    <row r="28" spans="1:8">
      <c r="A28">
        <v>27</v>
      </c>
      <c r="B28" s="31" t="s">
        <v>870</v>
      </c>
      <c r="C28" s="532" t="s">
        <v>875</v>
      </c>
      <c r="D28" s="534">
        <v>0.31041666666666667</v>
      </c>
      <c r="E28" s="532" t="s">
        <v>876</v>
      </c>
      <c r="G28" s="68" t="s">
        <v>859</v>
      </c>
    </row>
    <row r="29" spans="1:8">
      <c r="A29">
        <v>28</v>
      </c>
      <c r="B29" s="497" t="s">
        <v>867</v>
      </c>
      <c r="C29" s="532" t="s">
        <v>875</v>
      </c>
      <c r="D29" s="534">
        <v>0.1388888888888889</v>
      </c>
      <c r="E29" s="532" t="s">
        <v>869</v>
      </c>
      <c r="G29" s="68" t="s">
        <v>868</v>
      </c>
    </row>
    <row r="30" spans="1:8">
      <c r="A30">
        <v>29</v>
      </c>
      <c r="B30" s="31" t="s">
        <v>877</v>
      </c>
      <c r="C30" s="532" t="s">
        <v>876</v>
      </c>
      <c r="D30" s="534">
        <v>0.15902777777777777</v>
      </c>
      <c r="E30" s="532" t="s">
        <v>879</v>
      </c>
    </row>
    <row r="31" spans="1:8">
      <c r="A31">
        <v>30</v>
      </c>
      <c r="B31" s="31" t="s">
        <v>878</v>
      </c>
      <c r="C31" s="532" t="s">
        <v>879</v>
      </c>
      <c r="D31" s="534">
        <v>0.24861111111111112</v>
      </c>
      <c r="E31" s="532" t="s">
        <v>880</v>
      </c>
    </row>
    <row r="36" spans="1:6">
      <c r="A36" t="s">
        <v>60</v>
      </c>
    </row>
    <row r="37" spans="1:6">
      <c r="A37">
        <v>1</v>
      </c>
      <c r="B37" t="s">
        <v>886</v>
      </c>
      <c r="C37" s="533" t="s">
        <v>887</v>
      </c>
      <c r="D37" t="s">
        <v>892</v>
      </c>
      <c r="F37" s="548" t="s">
        <v>922</v>
      </c>
    </row>
    <row r="38" spans="1:6">
      <c r="A38">
        <v>2</v>
      </c>
      <c r="B38" t="s">
        <v>888</v>
      </c>
      <c r="C38" s="533" t="s">
        <v>889</v>
      </c>
      <c r="D38" t="s">
        <v>892</v>
      </c>
    </row>
    <row r="39" spans="1:6">
      <c r="B39" t="s">
        <v>890</v>
      </c>
    </row>
    <row r="40" spans="1:6">
      <c r="B40" t="s">
        <v>891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Tabelle5"/>
  <dimension ref="A1:P8"/>
  <sheetViews>
    <sheetView workbookViewId="0">
      <selection activeCell="F9" sqref="F9"/>
    </sheetView>
  </sheetViews>
  <sheetFormatPr baseColWidth="10" defaultRowHeight="15"/>
  <cols>
    <col min="1" max="1" width="12.7109375" bestFit="1" customWidth="1"/>
    <col min="2" max="2" width="5.7109375" bestFit="1" customWidth="1"/>
    <col min="3" max="3" width="8" bestFit="1" customWidth="1"/>
    <col min="4" max="4" width="9.28515625" bestFit="1" customWidth="1"/>
    <col min="5" max="5" width="3" bestFit="1" customWidth="1"/>
    <col min="6" max="6" width="6.140625" bestFit="1" customWidth="1"/>
    <col min="7" max="7" width="3" bestFit="1" customWidth="1"/>
    <col min="8" max="8" width="6.140625" bestFit="1" customWidth="1"/>
    <col min="9" max="9" width="3" bestFit="1" customWidth="1"/>
    <col min="10" max="10" width="6.140625" bestFit="1" customWidth="1"/>
    <col min="11" max="11" width="3" bestFit="1" customWidth="1"/>
    <col min="12" max="12" width="6.140625" bestFit="1" customWidth="1"/>
    <col min="13" max="13" width="2.5703125" bestFit="1" customWidth="1"/>
    <col min="14" max="14" width="6.140625" bestFit="1" customWidth="1"/>
    <col min="15" max="15" width="10.42578125" bestFit="1" customWidth="1"/>
  </cols>
  <sheetData>
    <row r="1" spans="1:16">
      <c r="B1" t="s">
        <v>59</v>
      </c>
      <c r="C1" t="s">
        <v>3</v>
      </c>
      <c r="D1" t="s">
        <v>61</v>
      </c>
      <c r="E1" s="584" t="s">
        <v>62</v>
      </c>
      <c r="F1" s="585"/>
      <c r="G1" s="585" t="s">
        <v>65</v>
      </c>
      <c r="H1" s="585"/>
      <c r="I1" s="585" t="s">
        <v>66</v>
      </c>
      <c r="J1" s="585"/>
      <c r="K1" s="585" t="s">
        <v>67</v>
      </c>
      <c r="L1" s="585"/>
      <c r="M1" s="585" t="s">
        <v>68</v>
      </c>
      <c r="N1" s="586"/>
    </row>
    <row r="2" spans="1:16" ht="15.75" thickBot="1">
      <c r="E2" s="24" t="s">
        <v>63</v>
      </c>
      <c r="F2" s="25" t="s">
        <v>64</v>
      </c>
      <c r="G2" s="25" t="s">
        <v>63</v>
      </c>
      <c r="H2" s="25" t="s">
        <v>64</v>
      </c>
      <c r="I2" s="25" t="s">
        <v>63</v>
      </c>
      <c r="J2" s="25" t="s">
        <v>64</v>
      </c>
      <c r="K2" s="25" t="s">
        <v>63</v>
      </c>
      <c r="L2" s="25" t="s">
        <v>64</v>
      </c>
      <c r="M2" s="25" t="s">
        <v>63</v>
      </c>
      <c r="N2" s="26" t="s">
        <v>64</v>
      </c>
      <c r="O2" t="s">
        <v>69</v>
      </c>
    </row>
    <row r="3" spans="1:16">
      <c r="A3" t="s">
        <v>58</v>
      </c>
      <c r="B3">
        <v>10</v>
      </c>
      <c r="C3">
        <v>13750</v>
      </c>
      <c r="D3" s="368">
        <v>2</v>
      </c>
      <c r="E3" s="588">
        <v>40</v>
      </c>
      <c r="F3" s="590">
        <v>7000</v>
      </c>
      <c r="G3" s="590">
        <v>25</v>
      </c>
      <c r="H3" s="590">
        <v>11000</v>
      </c>
      <c r="I3" s="590">
        <v>20</v>
      </c>
      <c r="J3" s="590">
        <v>14000</v>
      </c>
      <c r="K3" s="590">
        <v>10</v>
      </c>
      <c r="L3" s="590">
        <v>28000</v>
      </c>
      <c r="M3" s="590">
        <v>5</v>
      </c>
      <c r="N3" s="592">
        <v>56000</v>
      </c>
      <c r="O3" s="587">
        <f>E3/100*F3+G3/100*H3+I3/100*J3+K3/100*L3+M3/100*N3</f>
        <v>13950</v>
      </c>
    </row>
    <row r="4" spans="1:16" ht="15.75" thickBot="1">
      <c r="A4" t="s">
        <v>60</v>
      </c>
      <c r="B4">
        <v>10</v>
      </c>
      <c r="C4">
        <v>4587</v>
      </c>
      <c r="D4" s="368">
        <v>1</v>
      </c>
      <c r="E4" s="589"/>
      <c r="F4" s="591"/>
      <c r="G4" s="591"/>
      <c r="H4" s="591"/>
      <c r="I4" s="591"/>
      <c r="J4" s="591"/>
      <c r="K4" s="591"/>
      <c r="L4" s="591"/>
      <c r="M4" s="591"/>
      <c r="N4" s="593"/>
      <c r="O4" s="587"/>
    </row>
    <row r="7" spans="1:16">
      <c r="C7" t="s">
        <v>72</v>
      </c>
      <c r="F7" t="s">
        <v>71</v>
      </c>
      <c r="H7" t="s">
        <v>71</v>
      </c>
      <c r="J7" t="s">
        <v>71</v>
      </c>
      <c r="L7" t="s">
        <v>71</v>
      </c>
      <c r="N7" t="s">
        <v>71</v>
      </c>
      <c r="O7" t="s">
        <v>64</v>
      </c>
    </row>
    <row r="8" spans="1:16">
      <c r="A8" t="s">
        <v>70</v>
      </c>
      <c r="C8">
        <v>8000000</v>
      </c>
      <c r="F8">
        <v>200</v>
      </c>
      <c r="H8">
        <v>120</v>
      </c>
      <c r="J8">
        <v>120</v>
      </c>
      <c r="L8">
        <v>70</v>
      </c>
      <c r="N8">
        <v>20</v>
      </c>
      <c r="O8">
        <f>F8*F3+H8*H3+J8*J3+L8*L3+N8*N3</f>
        <v>7480000</v>
      </c>
      <c r="P8" s="28">
        <f>O8/C8</f>
        <v>0.93500000000000005</v>
      </c>
    </row>
  </sheetData>
  <mergeCells count="16">
    <mergeCell ref="O3:O4"/>
    <mergeCell ref="E1:F1"/>
    <mergeCell ref="G1:H1"/>
    <mergeCell ref="I1:J1"/>
    <mergeCell ref="K1:L1"/>
    <mergeCell ref="M1:N1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P8">
    <cfRule type="cellIs" dxfId="6" priority="3" operator="greaterThan">
      <formula>1</formula>
    </cfRule>
    <cfRule type="cellIs" dxfId="5" priority="2" operator="lessThan">
      <formula>0.8</formula>
    </cfRule>
    <cfRule type="cellIs" dxfId="4" priority="1" operator="between">
      <formula>0.8</formula>
      <formula>1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59"/>
  <sheetViews>
    <sheetView workbookViewId="0">
      <pane ySplit="2" topLeftCell="A3" activePane="bottomLeft" state="frozen"/>
      <selection pane="bottomLeft" activeCell="A5" sqref="A5"/>
    </sheetView>
  </sheetViews>
  <sheetFormatPr baseColWidth="10" defaultRowHeight="15"/>
  <cols>
    <col min="1" max="1" width="27.42578125" style="302" bestFit="1" customWidth="1"/>
    <col min="2" max="2" width="7" bestFit="1" customWidth="1"/>
    <col min="3" max="5" width="7.5703125" bestFit="1" customWidth="1"/>
    <col min="6" max="6" width="5.5703125" style="64" bestFit="1" customWidth="1"/>
    <col min="7" max="7" width="5" bestFit="1" customWidth="1"/>
    <col min="8" max="8" width="4.7109375" bestFit="1" customWidth="1"/>
    <col min="9" max="9" width="10.140625" bestFit="1" customWidth="1"/>
    <col min="10" max="10" width="5.42578125" bestFit="1" customWidth="1"/>
    <col min="11" max="11" width="9" bestFit="1" customWidth="1"/>
    <col min="12" max="12" width="13" customWidth="1"/>
    <col min="13" max="14" width="12" customWidth="1"/>
    <col min="15" max="15" width="13" bestFit="1" customWidth="1"/>
    <col min="16" max="16" width="16.140625" customWidth="1"/>
    <col min="17" max="17" width="18.140625" bestFit="1" customWidth="1"/>
    <col min="18" max="18" width="11.42578125" customWidth="1"/>
    <col min="21" max="21" width="5" customWidth="1"/>
    <col min="22" max="22" width="5.140625" customWidth="1"/>
    <col min="23" max="23" width="5.42578125" customWidth="1"/>
    <col min="24" max="24" width="4.85546875" customWidth="1"/>
    <col min="25" max="25" width="4.7109375" customWidth="1"/>
    <col min="26" max="26" width="5.140625" customWidth="1"/>
  </cols>
  <sheetData>
    <row r="1" spans="1:19" ht="15.75" thickBot="1">
      <c r="A1" s="37"/>
      <c r="B1" s="14" t="s">
        <v>34</v>
      </c>
      <c r="C1" s="33" t="s">
        <v>30</v>
      </c>
      <c r="D1" s="15" t="s">
        <v>31</v>
      </c>
      <c r="E1" s="34" t="s">
        <v>32</v>
      </c>
      <c r="F1" s="15" t="s">
        <v>73</v>
      </c>
      <c r="G1" s="15" t="s">
        <v>374</v>
      </c>
      <c r="H1" s="15" t="s">
        <v>571</v>
      </c>
      <c r="I1" s="15" t="s">
        <v>395</v>
      </c>
      <c r="J1" s="15" t="s">
        <v>387</v>
      </c>
      <c r="K1" s="34" t="s">
        <v>56</v>
      </c>
      <c r="L1" s="35" t="s">
        <v>30</v>
      </c>
      <c r="M1" s="35" t="s">
        <v>31</v>
      </c>
      <c r="N1" s="35" t="s">
        <v>32</v>
      </c>
      <c r="O1" s="36" t="s">
        <v>56</v>
      </c>
      <c r="P1" s="14" t="s">
        <v>81</v>
      </c>
      <c r="Q1" s="37" t="s">
        <v>82</v>
      </c>
      <c r="R1" s="112" t="s">
        <v>463</v>
      </c>
    </row>
    <row r="2" spans="1:19" ht="15.75" thickBot="1">
      <c r="B2" s="18">
        <f>SUM(B3:B356)</f>
        <v>0</v>
      </c>
      <c r="C2" s="66"/>
      <c r="D2" s="67"/>
      <c r="E2" s="61"/>
      <c r="F2" s="177"/>
      <c r="G2" s="67"/>
      <c r="H2" s="67"/>
      <c r="I2" s="67"/>
      <c r="J2" s="67"/>
      <c r="K2" s="61"/>
      <c r="L2" s="23">
        <f>SUM(L3:L356)</f>
        <v>0</v>
      </c>
      <c r="M2" s="23">
        <f>SUM(M3:M356)</f>
        <v>0</v>
      </c>
      <c r="N2" s="23">
        <f>SUM(N3:N356)</f>
        <v>0</v>
      </c>
      <c r="O2" s="23">
        <f>SUM(O3:O356)</f>
        <v>0</v>
      </c>
      <c r="P2" s="18"/>
      <c r="Q2" s="61"/>
      <c r="R2" s="32" t="e">
        <f>N2/B2</f>
        <v>#DIV/0!</v>
      </c>
    </row>
    <row r="3" spans="1:19">
      <c r="A3" s="154" t="s">
        <v>534</v>
      </c>
      <c r="B3" s="243">
        <v>0</v>
      </c>
      <c r="C3" s="39">
        <v>15</v>
      </c>
      <c r="D3" s="40">
        <v>15</v>
      </c>
      <c r="E3" s="52">
        <v>15</v>
      </c>
      <c r="F3" s="40"/>
      <c r="G3" s="70">
        <v>1</v>
      </c>
      <c r="H3" s="70">
        <v>4</v>
      </c>
      <c r="I3" s="70" t="s">
        <v>396</v>
      </c>
      <c r="J3" s="40">
        <v>1</v>
      </c>
      <c r="K3" s="52">
        <v>100</v>
      </c>
      <c r="L3" s="41">
        <f>$B3*C3</f>
        <v>0</v>
      </c>
      <c r="M3" s="42">
        <f>$B3*D3</f>
        <v>0</v>
      </c>
      <c r="N3" s="42">
        <f>$B3*E3</f>
        <v>0</v>
      </c>
      <c r="O3" s="43">
        <f t="shared" ref="O3:O117" si="0">$B3*K3</f>
        <v>0</v>
      </c>
      <c r="P3" s="44"/>
      <c r="Q3" s="38"/>
    </row>
    <row r="4" spans="1:19">
      <c r="A4" s="155" t="s">
        <v>83</v>
      </c>
      <c r="B4" s="244">
        <v>0</v>
      </c>
      <c r="C4" s="80">
        <v>19</v>
      </c>
      <c r="D4" s="45">
        <v>19</v>
      </c>
      <c r="E4" s="99">
        <v>19</v>
      </c>
      <c r="F4" s="45"/>
      <c r="G4" s="60">
        <v>12</v>
      </c>
      <c r="H4" s="60"/>
      <c r="I4" s="60" t="s">
        <v>396</v>
      </c>
      <c r="J4" s="45">
        <v>1</v>
      </c>
      <c r="K4" s="324">
        <v>100</v>
      </c>
      <c r="L4" s="46">
        <f t="shared" ref="L4:L67" si="1">$B4*C4</f>
        <v>0</v>
      </c>
      <c r="M4" s="19">
        <f t="shared" ref="M4:M67" si="2">$B4*D4</f>
        <v>0</v>
      </c>
      <c r="N4" s="19">
        <f t="shared" ref="N4:N67" si="3">$B4*E4</f>
        <v>0</v>
      </c>
      <c r="O4" s="20">
        <f t="shared" si="0"/>
        <v>0</v>
      </c>
      <c r="P4" s="47"/>
      <c r="Q4" s="16"/>
    </row>
    <row r="5" spans="1:19">
      <c r="A5" s="156" t="s">
        <v>84</v>
      </c>
      <c r="B5" s="244">
        <v>0</v>
      </c>
      <c r="C5" s="80">
        <v>20</v>
      </c>
      <c r="D5" s="45">
        <v>15</v>
      </c>
      <c r="E5" s="99">
        <v>25</v>
      </c>
      <c r="F5" s="45"/>
      <c r="G5" s="60">
        <v>12</v>
      </c>
      <c r="H5" s="60"/>
      <c r="I5" s="60" t="s">
        <v>396</v>
      </c>
      <c r="J5" s="45"/>
      <c r="K5" s="324">
        <v>100</v>
      </c>
      <c r="L5" s="46">
        <f t="shared" si="1"/>
        <v>0</v>
      </c>
      <c r="M5" s="19">
        <f t="shared" si="2"/>
        <v>0</v>
      </c>
      <c r="N5" s="19">
        <f t="shared" si="3"/>
        <v>0</v>
      </c>
      <c r="O5" s="20">
        <f t="shared" si="0"/>
        <v>0</v>
      </c>
      <c r="P5" s="47"/>
      <c r="Q5" s="16"/>
    </row>
    <row r="6" spans="1:19">
      <c r="A6" s="155" t="s">
        <v>85</v>
      </c>
      <c r="B6" s="244">
        <v>0</v>
      </c>
      <c r="C6" s="80">
        <v>19</v>
      </c>
      <c r="D6" s="45">
        <v>19</v>
      </c>
      <c r="E6" s="99">
        <v>19</v>
      </c>
      <c r="F6" s="45"/>
      <c r="G6" s="60">
        <v>12</v>
      </c>
      <c r="H6" s="60"/>
      <c r="I6" s="60" t="s">
        <v>396</v>
      </c>
      <c r="J6" s="45"/>
      <c r="K6" s="324">
        <v>100</v>
      </c>
      <c r="L6" s="46">
        <f t="shared" si="1"/>
        <v>0</v>
      </c>
      <c r="M6" s="19">
        <f t="shared" si="2"/>
        <v>0</v>
      </c>
      <c r="N6" s="19">
        <f t="shared" si="3"/>
        <v>0</v>
      </c>
      <c r="O6" s="20">
        <f t="shared" si="0"/>
        <v>0</v>
      </c>
      <c r="P6" s="47"/>
      <c r="Q6" s="16"/>
    </row>
    <row r="7" spans="1:19">
      <c r="A7" s="155" t="s">
        <v>86</v>
      </c>
      <c r="B7" s="244">
        <v>0</v>
      </c>
      <c r="C7" s="80">
        <v>19</v>
      </c>
      <c r="D7" s="45">
        <v>19</v>
      </c>
      <c r="E7" s="99">
        <v>19</v>
      </c>
      <c r="F7" s="45"/>
      <c r="G7" s="60">
        <v>12</v>
      </c>
      <c r="H7" s="60"/>
      <c r="I7" s="60" t="s">
        <v>396</v>
      </c>
      <c r="J7" s="45"/>
      <c r="K7" s="324">
        <v>100</v>
      </c>
      <c r="L7" s="46">
        <f t="shared" si="1"/>
        <v>0</v>
      </c>
      <c r="M7" s="19">
        <f t="shared" si="2"/>
        <v>0</v>
      </c>
      <c r="N7" s="19">
        <f t="shared" si="3"/>
        <v>0</v>
      </c>
      <c r="O7" s="20">
        <f t="shared" si="0"/>
        <v>0</v>
      </c>
      <c r="P7" s="47"/>
      <c r="Q7" s="16"/>
    </row>
    <row r="8" spans="1:19">
      <c r="A8" s="155" t="s">
        <v>87</v>
      </c>
      <c r="B8" s="244">
        <v>0</v>
      </c>
      <c r="C8" s="80">
        <v>15</v>
      </c>
      <c r="D8" s="45">
        <v>15</v>
      </c>
      <c r="E8" s="99">
        <v>15</v>
      </c>
      <c r="F8" s="45"/>
      <c r="G8" s="60">
        <v>12</v>
      </c>
      <c r="H8" s="60"/>
      <c r="I8" s="60" t="s">
        <v>396</v>
      </c>
      <c r="J8" s="45"/>
      <c r="K8" s="324">
        <v>100</v>
      </c>
      <c r="L8" s="46">
        <f t="shared" si="1"/>
        <v>0</v>
      </c>
      <c r="M8" s="19">
        <f t="shared" si="2"/>
        <v>0</v>
      </c>
      <c r="N8" s="19">
        <f t="shared" si="3"/>
        <v>0</v>
      </c>
      <c r="O8" s="20">
        <f t="shared" si="0"/>
        <v>0</v>
      </c>
      <c r="P8" s="47" t="s">
        <v>88</v>
      </c>
      <c r="Q8" s="16"/>
    </row>
    <row r="9" spans="1:19">
      <c r="A9" s="155" t="s">
        <v>89</v>
      </c>
      <c r="B9" s="244">
        <v>0</v>
      </c>
      <c r="C9" s="80">
        <v>19</v>
      </c>
      <c r="D9" s="45">
        <v>19</v>
      </c>
      <c r="E9" s="99">
        <v>19</v>
      </c>
      <c r="F9" s="45"/>
      <c r="G9" s="60">
        <v>12</v>
      </c>
      <c r="H9" s="60"/>
      <c r="I9" s="60" t="s">
        <v>396</v>
      </c>
      <c r="J9" s="45"/>
      <c r="K9" s="324">
        <v>100</v>
      </c>
      <c r="L9" s="46">
        <f t="shared" si="1"/>
        <v>0</v>
      </c>
      <c r="M9" s="19">
        <f t="shared" si="2"/>
        <v>0</v>
      </c>
      <c r="N9" s="19">
        <f t="shared" si="3"/>
        <v>0</v>
      </c>
      <c r="O9" s="20">
        <f t="shared" si="0"/>
        <v>0</v>
      </c>
      <c r="P9" s="47"/>
      <c r="Q9" s="16"/>
    </row>
    <row r="10" spans="1:19">
      <c r="A10" s="157" t="s">
        <v>90</v>
      </c>
      <c r="B10" s="244">
        <v>0</v>
      </c>
      <c r="C10" s="80">
        <v>80</v>
      </c>
      <c r="D10" s="45">
        <v>1</v>
      </c>
      <c r="E10" s="99">
        <v>1</v>
      </c>
      <c r="F10" s="45"/>
      <c r="G10" s="60">
        <v>12</v>
      </c>
      <c r="H10" s="60"/>
      <c r="I10" s="60" t="s">
        <v>396</v>
      </c>
      <c r="J10" s="45"/>
      <c r="K10" s="324">
        <v>100</v>
      </c>
      <c r="L10" s="46">
        <f t="shared" si="1"/>
        <v>0</v>
      </c>
      <c r="M10" s="19">
        <f t="shared" si="2"/>
        <v>0</v>
      </c>
      <c r="N10" s="19">
        <f t="shared" si="3"/>
        <v>0</v>
      </c>
      <c r="O10" s="20">
        <f t="shared" si="0"/>
        <v>0</v>
      </c>
      <c r="P10" s="47" t="s">
        <v>91</v>
      </c>
      <c r="Q10" s="16"/>
    </row>
    <row r="11" spans="1:19">
      <c r="A11" s="157" t="s">
        <v>92</v>
      </c>
      <c r="B11" s="244">
        <v>0</v>
      </c>
      <c r="C11" s="80">
        <v>26</v>
      </c>
      <c r="D11" s="45">
        <v>26</v>
      </c>
      <c r="E11" s="99">
        <v>26</v>
      </c>
      <c r="F11" s="45">
        <v>20</v>
      </c>
      <c r="G11" s="60">
        <v>12</v>
      </c>
      <c r="H11" s="60"/>
      <c r="I11" s="60" t="s">
        <v>396</v>
      </c>
      <c r="J11" s="45"/>
      <c r="K11" s="324">
        <v>100</v>
      </c>
      <c r="L11" s="46">
        <f t="shared" si="1"/>
        <v>0</v>
      </c>
      <c r="M11" s="19">
        <f t="shared" si="2"/>
        <v>0</v>
      </c>
      <c r="N11" s="19">
        <f t="shared" si="3"/>
        <v>0</v>
      </c>
      <c r="O11" s="20">
        <f t="shared" si="0"/>
        <v>0</v>
      </c>
      <c r="P11" s="47"/>
      <c r="Q11" s="48" t="s">
        <v>93</v>
      </c>
    </row>
    <row r="12" spans="1:19">
      <c r="A12" s="157" t="s">
        <v>94</v>
      </c>
      <c r="B12" s="244">
        <v>0</v>
      </c>
      <c r="C12" s="80">
        <v>26</v>
      </c>
      <c r="D12" s="45">
        <v>44</v>
      </c>
      <c r="E12" s="99">
        <v>26</v>
      </c>
      <c r="F12" s="45"/>
      <c r="G12" s="60">
        <v>12</v>
      </c>
      <c r="H12" s="60"/>
      <c r="I12" s="60" t="s">
        <v>397</v>
      </c>
      <c r="J12" s="45"/>
      <c r="K12" s="324">
        <v>100</v>
      </c>
      <c r="L12" s="46">
        <f t="shared" si="1"/>
        <v>0</v>
      </c>
      <c r="M12" s="19">
        <f t="shared" si="2"/>
        <v>0</v>
      </c>
      <c r="N12" s="19">
        <f t="shared" si="3"/>
        <v>0</v>
      </c>
      <c r="O12" s="20">
        <f t="shared" si="0"/>
        <v>0</v>
      </c>
      <c r="P12" s="47"/>
      <c r="Q12" s="16"/>
    </row>
    <row r="13" spans="1:19">
      <c r="A13" s="157" t="s">
        <v>95</v>
      </c>
      <c r="B13" s="244">
        <v>0</v>
      </c>
      <c r="C13" s="80">
        <v>26</v>
      </c>
      <c r="D13" s="45">
        <v>40</v>
      </c>
      <c r="E13" s="99">
        <v>26</v>
      </c>
      <c r="F13" s="45"/>
      <c r="G13" s="60">
        <v>12</v>
      </c>
      <c r="H13" s="60"/>
      <c r="I13" s="60" t="s">
        <v>396</v>
      </c>
      <c r="J13" s="45"/>
      <c r="K13" s="324">
        <v>100</v>
      </c>
      <c r="L13" s="46">
        <f t="shared" si="1"/>
        <v>0</v>
      </c>
      <c r="M13" s="19">
        <f t="shared" si="2"/>
        <v>0</v>
      </c>
      <c r="N13" s="19">
        <f t="shared" si="3"/>
        <v>0</v>
      </c>
      <c r="O13" s="20">
        <f t="shared" si="0"/>
        <v>0</v>
      </c>
      <c r="P13" s="47"/>
      <c r="Q13" s="16"/>
    </row>
    <row r="14" spans="1:19" ht="15.75">
      <c r="A14" s="158" t="s">
        <v>96</v>
      </c>
      <c r="B14" s="244">
        <v>0</v>
      </c>
      <c r="C14" s="80">
        <v>150</v>
      </c>
      <c r="D14" s="45">
        <v>100</v>
      </c>
      <c r="E14" s="99">
        <v>125</v>
      </c>
      <c r="F14" s="45"/>
      <c r="G14" s="60">
        <v>12</v>
      </c>
      <c r="H14" s="60"/>
      <c r="I14" s="60" t="s">
        <v>396</v>
      </c>
      <c r="J14" s="45"/>
      <c r="K14" s="324">
        <v>100</v>
      </c>
      <c r="L14" s="46">
        <f t="shared" si="1"/>
        <v>0</v>
      </c>
      <c r="M14" s="19">
        <f t="shared" si="2"/>
        <v>0</v>
      </c>
      <c r="N14" s="19">
        <f t="shared" si="3"/>
        <v>0</v>
      </c>
      <c r="O14" s="20">
        <f t="shared" si="0"/>
        <v>0</v>
      </c>
      <c r="P14" s="47"/>
      <c r="Q14" s="16"/>
      <c r="S14" s="547"/>
    </row>
    <row r="15" spans="1:19">
      <c r="A15" s="158" t="s">
        <v>97</v>
      </c>
      <c r="B15" s="244">
        <v>0</v>
      </c>
      <c r="C15" s="80">
        <v>70</v>
      </c>
      <c r="D15" s="45">
        <v>90</v>
      </c>
      <c r="E15" s="99">
        <v>100</v>
      </c>
      <c r="F15" s="45"/>
      <c r="G15" s="60">
        <v>12</v>
      </c>
      <c r="H15" s="60"/>
      <c r="I15" s="60" t="s">
        <v>396</v>
      </c>
      <c r="J15" s="45"/>
      <c r="K15" s="324">
        <v>100</v>
      </c>
      <c r="L15" s="46">
        <f t="shared" si="1"/>
        <v>0</v>
      </c>
      <c r="M15" s="19">
        <f t="shared" si="2"/>
        <v>0</v>
      </c>
      <c r="N15" s="19">
        <f t="shared" si="3"/>
        <v>0</v>
      </c>
      <c r="O15" s="20">
        <f t="shared" si="0"/>
        <v>0</v>
      </c>
      <c r="P15" s="47"/>
      <c r="Q15" s="16"/>
    </row>
    <row r="16" spans="1:19" ht="15.75" thickBot="1">
      <c r="A16" s="159" t="s">
        <v>98</v>
      </c>
      <c r="B16" s="245">
        <v>0</v>
      </c>
      <c r="C16" s="81">
        <v>200</v>
      </c>
      <c r="D16" s="49">
        <v>200</v>
      </c>
      <c r="E16" s="100">
        <v>320</v>
      </c>
      <c r="F16" s="45"/>
      <c r="G16" s="60">
        <v>12</v>
      </c>
      <c r="H16" s="60"/>
      <c r="I16" s="60" t="s">
        <v>396</v>
      </c>
      <c r="J16" s="45"/>
      <c r="K16" s="324">
        <v>100</v>
      </c>
      <c r="L16" s="50">
        <f t="shared" si="1"/>
        <v>0</v>
      </c>
      <c r="M16" s="21">
        <f t="shared" si="2"/>
        <v>0</v>
      </c>
      <c r="N16" s="21">
        <f t="shared" si="3"/>
        <v>0</v>
      </c>
      <c r="O16" s="22">
        <f t="shared" si="0"/>
        <v>0</v>
      </c>
      <c r="P16" s="51" t="s">
        <v>88</v>
      </c>
      <c r="Q16" s="17"/>
    </row>
    <row r="17" spans="1:19">
      <c r="A17" s="154" t="s">
        <v>533</v>
      </c>
      <c r="B17" s="243">
        <v>0</v>
      </c>
      <c r="C17" s="79">
        <v>25</v>
      </c>
      <c r="D17" s="13">
        <v>15</v>
      </c>
      <c r="E17" s="53">
        <v>15</v>
      </c>
      <c r="F17" s="39"/>
      <c r="G17" s="70">
        <v>2</v>
      </c>
      <c r="H17" s="70">
        <v>4</v>
      </c>
      <c r="I17" s="70" t="s">
        <v>38</v>
      </c>
      <c r="J17" s="40">
        <v>1</v>
      </c>
      <c r="K17" s="52">
        <v>100</v>
      </c>
      <c r="L17" s="42">
        <f t="shared" si="1"/>
        <v>0</v>
      </c>
      <c r="M17" s="42">
        <f t="shared" si="2"/>
        <v>0</v>
      </c>
      <c r="N17" s="42">
        <f t="shared" si="3"/>
        <v>0</v>
      </c>
      <c r="O17" s="42">
        <f t="shared" si="0"/>
        <v>0</v>
      </c>
      <c r="P17" s="38"/>
      <c r="Q17" s="44"/>
    </row>
    <row r="18" spans="1:19">
      <c r="A18" s="155" t="s">
        <v>99</v>
      </c>
      <c r="B18" s="244">
        <v>0</v>
      </c>
      <c r="C18" s="80">
        <v>30</v>
      </c>
      <c r="D18" s="45">
        <v>20</v>
      </c>
      <c r="E18" s="99">
        <v>20</v>
      </c>
      <c r="F18" s="80"/>
      <c r="G18" s="60">
        <v>12</v>
      </c>
      <c r="H18" s="60"/>
      <c r="I18" s="60" t="s">
        <v>38</v>
      </c>
      <c r="J18" s="45">
        <v>1</v>
      </c>
      <c r="K18" s="324">
        <v>100</v>
      </c>
      <c r="L18" s="19">
        <f t="shared" si="1"/>
        <v>0</v>
      </c>
      <c r="M18" s="19">
        <f t="shared" si="2"/>
        <v>0</v>
      </c>
      <c r="N18" s="19">
        <f t="shared" si="3"/>
        <v>0</v>
      </c>
      <c r="O18" s="19">
        <f t="shared" si="0"/>
        <v>0</v>
      </c>
      <c r="P18" s="48"/>
      <c r="Q18" s="26"/>
    </row>
    <row r="19" spans="1:19" ht="15.75">
      <c r="A19" s="155" t="s">
        <v>100</v>
      </c>
      <c r="B19" s="244">
        <v>0</v>
      </c>
      <c r="C19" s="80">
        <v>30</v>
      </c>
      <c r="D19" s="45">
        <v>20</v>
      </c>
      <c r="E19" s="99">
        <v>20</v>
      </c>
      <c r="F19" s="80"/>
      <c r="G19" s="60">
        <v>12</v>
      </c>
      <c r="H19" s="60"/>
      <c r="I19" s="60" t="s">
        <v>38</v>
      </c>
      <c r="J19" s="45"/>
      <c r="K19" s="324">
        <v>100</v>
      </c>
      <c r="L19" s="19">
        <f t="shared" si="1"/>
        <v>0</v>
      </c>
      <c r="M19" s="19">
        <f t="shared" si="2"/>
        <v>0</v>
      </c>
      <c r="N19" s="19">
        <f t="shared" si="3"/>
        <v>0</v>
      </c>
      <c r="O19" s="19">
        <f t="shared" si="0"/>
        <v>0</v>
      </c>
      <c r="P19" s="48"/>
      <c r="Q19" s="26"/>
      <c r="S19" s="547"/>
    </row>
    <row r="20" spans="1:19">
      <c r="A20" s="157" t="s">
        <v>101</v>
      </c>
      <c r="B20" s="244">
        <v>0</v>
      </c>
      <c r="C20" s="80">
        <v>35</v>
      </c>
      <c r="D20" s="45">
        <v>30</v>
      </c>
      <c r="E20" s="99">
        <v>30</v>
      </c>
      <c r="F20" s="80"/>
      <c r="G20" s="60">
        <v>12</v>
      </c>
      <c r="H20" s="60"/>
      <c r="I20" s="60" t="s">
        <v>398</v>
      </c>
      <c r="J20" s="45"/>
      <c r="K20" s="324">
        <v>100</v>
      </c>
      <c r="L20" s="19">
        <f t="shared" si="1"/>
        <v>0</v>
      </c>
      <c r="M20" s="19">
        <f t="shared" si="2"/>
        <v>0</v>
      </c>
      <c r="N20" s="19">
        <f t="shared" si="3"/>
        <v>0</v>
      </c>
      <c r="O20" s="19">
        <f t="shared" si="0"/>
        <v>0</v>
      </c>
      <c r="P20" s="48" t="s">
        <v>88</v>
      </c>
      <c r="Q20" s="26"/>
    </row>
    <row r="21" spans="1:19">
      <c r="A21" s="158" t="s">
        <v>102</v>
      </c>
      <c r="B21" s="244">
        <v>0</v>
      </c>
      <c r="C21" s="80">
        <v>70</v>
      </c>
      <c r="D21" s="45">
        <v>35</v>
      </c>
      <c r="E21" s="99">
        <v>35</v>
      </c>
      <c r="F21" s="80"/>
      <c r="G21" s="60">
        <v>12</v>
      </c>
      <c r="H21" s="60"/>
      <c r="I21" s="60" t="s">
        <v>38</v>
      </c>
      <c r="J21" s="45"/>
      <c r="K21" s="324">
        <v>100</v>
      </c>
      <c r="L21" s="19">
        <f t="shared" si="1"/>
        <v>0</v>
      </c>
      <c r="M21" s="19">
        <f t="shared" si="2"/>
        <v>0</v>
      </c>
      <c r="N21" s="19">
        <f t="shared" si="3"/>
        <v>0</v>
      </c>
      <c r="O21" s="19">
        <f t="shared" si="0"/>
        <v>0</v>
      </c>
      <c r="P21" s="48" t="s">
        <v>88</v>
      </c>
      <c r="Q21" s="26"/>
    </row>
    <row r="22" spans="1:19" ht="15.75" thickBot="1">
      <c r="A22" s="159" t="s">
        <v>103</v>
      </c>
      <c r="B22" s="245">
        <v>0</v>
      </c>
      <c r="C22" s="80">
        <v>110</v>
      </c>
      <c r="D22" s="45">
        <v>80</v>
      </c>
      <c r="E22" s="99">
        <v>80</v>
      </c>
      <c r="F22" s="81"/>
      <c r="G22" s="59">
        <v>12</v>
      </c>
      <c r="H22" s="59"/>
      <c r="I22" s="59" t="s">
        <v>38</v>
      </c>
      <c r="J22" s="49"/>
      <c r="K22" s="325">
        <v>100</v>
      </c>
      <c r="L22" s="21">
        <f t="shared" si="1"/>
        <v>0</v>
      </c>
      <c r="M22" s="21">
        <f t="shared" si="2"/>
        <v>0</v>
      </c>
      <c r="N22" s="21">
        <f t="shared" si="3"/>
        <v>0</v>
      </c>
      <c r="O22" s="21">
        <f t="shared" si="0"/>
        <v>0</v>
      </c>
      <c r="P22" s="55" t="s">
        <v>104</v>
      </c>
      <c r="Q22" s="56"/>
    </row>
    <row r="23" spans="1:19">
      <c r="A23" s="154" t="s">
        <v>531</v>
      </c>
      <c r="B23" s="243">
        <v>0</v>
      </c>
      <c r="C23" s="39">
        <v>30</v>
      </c>
      <c r="D23" s="40">
        <v>20</v>
      </c>
      <c r="E23" s="52">
        <v>50</v>
      </c>
      <c r="F23" s="39"/>
      <c r="G23" s="70">
        <v>6</v>
      </c>
      <c r="H23" s="70">
        <v>4</v>
      </c>
      <c r="I23" s="70" t="s">
        <v>399</v>
      </c>
      <c r="J23" s="40">
        <v>1</v>
      </c>
      <c r="K23" s="52">
        <v>120</v>
      </c>
      <c r="L23" s="42">
        <f>$B23*C23</f>
        <v>0</v>
      </c>
      <c r="M23" s="42">
        <f>$B23*D23</f>
        <v>0</v>
      </c>
      <c r="N23" s="42">
        <f>$B23*E23</f>
        <v>0</v>
      </c>
      <c r="O23" s="42">
        <f>$B23*K23</f>
        <v>0</v>
      </c>
      <c r="P23" s="57"/>
      <c r="Q23" s="38"/>
    </row>
    <row r="24" spans="1:19">
      <c r="A24" s="155" t="s">
        <v>105</v>
      </c>
      <c r="B24" s="244">
        <v>0</v>
      </c>
      <c r="C24" s="80">
        <v>60</v>
      </c>
      <c r="D24" s="45">
        <v>20</v>
      </c>
      <c r="E24" s="99">
        <v>50</v>
      </c>
      <c r="F24" s="80"/>
      <c r="G24" s="60">
        <v>12</v>
      </c>
      <c r="H24" s="60"/>
      <c r="I24" s="60" t="s">
        <v>399</v>
      </c>
      <c r="J24" s="45">
        <v>1</v>
      </c>
      <c r="K24" s="324">
        <v>120</v>
      </c>
      <c r="L24" s="19">
        <f t="shared" si="1"/>
        <v>0</v>
      </c>
      <c r="M24" s="19">
        <f t="shared" si="2"/>
        <v>0</v>
      </c>
      <c r="N24" s="19">
        <f t="shared" si="3"/>
        <v>0</v>
      </c>
      <c r="O24" s="19">
        <f t="shared" si="0"/>
        <v>0</v>
      </c>
      <c r="P24" s="48"/>
      <c r="Q24" s="16"/>
    </row>
    <row r="25" spans="1:19">
      <c r="A25" s="155" t="s">
        <v>106</v>
      </c>
      <c r="B25" s="244">
        <v>0</v>
      </c>
      <c r="C25" s="80">
        <v>39</v>
      </c>
      <c r="D25" s="45">
        <v>26</v>
      </c>
      <c r="E25" s="99">
        <v>65</v>
      </c>
      <c r="F25" s="80"/>
      <c r="G25" s="60">
        <v>12</v>
      </c>
      <c r="H25" s="60"/>
      <c r="I25" s="60" t="s">
        <v>399</v>
      </c>
      <c r="J25" s="45"/>
      <c r="K25" s="324">
        <v>120</v>
      </c>
      <c r="L25" s="19">
        <f t="shared" si="1"/>
        <v>0</v>
      </c>
      <c r="M25" s="19">
        <f t="shared" si="2"/>
        <v>0</v>
      </c>
      <c r="N25" s="19">
        <f t="shared" si="3"/>
        <v>0</v>
      </c>
      <c r="O25" s="19">
        <f t="shared" si="0"/>
        <v>0</v>
      </c>
      <c r="P25" s="48"/>
      <c r="Q25" s="16"/>
    </row>
    <row r="26" spans="1:19" ht="15.75">
      <c r="A26" s="155" t="s">
        <v>107</v>
      </c>
      <c r="B26" s="244">
        <v>0</v>
      </c>
      <c r="C26" s="80">
        <v>41</v>
      </c>
      <c r="D26" s="45">
        <v>27</v>
      </c>
      <c r="E26" s="99">
        <v>68</v>
      </c>
      <c r="F26" s="80"/>
      <c r="G26" s="60">
        <v>12</v>
      </c>
      <c r="H26" s="60"/>
      <c r="I26" s="60" t="s">
        <v>399</v>
      </c>
      <c r="J26" s="45"/>
      <c r="K26" s="324">
        <v>120</v>
      </c>
      <c r="L26" s="19">
        <f t="shared" si="1"/>
        <v>0</v>
      </c>
      <c r="M26" s="19">
        <f t="shared" si="2"/>
        <v>0</v>
      </c>
      <c r="N26" s="19">
        <f t="shared" si="3"/>
        <v>0</v>
      </c>
      <c r="O26" s="19">
        <f t="shared" si="0"/>
        <v>0</v>
      </c>
      <c r="P26" s="48"/>
      <c r="Q26" s="16"/>
      <c r="S26" s="547"/>
    </row>
    <row r="27" spans="1:19">
      <c r="A27" s="155" t="s">
        <v>108</v>
      </c>
      <c r="B27" s="244">
        <v>0</v>
      </c>
      <c r="C27" s="80">
        <v>15</v>
      </c>
      <c r="D27" s="45">
        <v>40</v>
      </c>
      <c r="E27" s="99">
        <v>85</v>
      </c>
      <c r="F27" s="80"/>
      <c r="G27" s="60">
        <v>12</v>
      </c>
      <c r="H27" s="60"/>
      <c r="I27" s="60" t="s">
        <v>399</v>
      </c>
      <c r="J27" s="45"/>
      <c r="K27" s="324">
        <v>120</v>
      </c>
      <c r="L27" s="19">
        <f t="shared" si="1"/>
        <v>0</v>
      </c>
      <c r="M27" s="19">
        <f t="shared" si="2"/>
        <v>0</v>
      </c>
      <c r="N27" s="19">
        <f t="shared" si="3"/>
        <v>0</v>
      </c>
      <c r="O27" s="19">
        <f t="shared" si="0"/>
        <v>0</v>
      </c>
      <c r="P27" s="48"/>
      <c r="Q27" s="16"/>
    </row>
    <row r="28" spans="1:19">
      <c r="A28" s="155" t="s">
        <v>109</v>
      </c>
      <c r="B28" s="244">
        <v>0</v>
      </c>
      <c r="C28" s="80">
        <v>20</v>
      </c>
      <c r="D28" s="45">
        <v>40</v>
      </c>
      <c r="E28" s="99">
        <v>50</v>
      </c>
      <c r="F28" s="80"/>
      <c r="G28" s="60">
        <v>12</v>
      </c>
      <c r="H28" s="60"/>
      <c r="I28" s="60" t="s">
        <v>399</v>
      </c>
      <c r="J28" s="45"/>
      <c r="K28" s="324">
        <v>120</v>
      </c>
      <c r="L28" s="19">
        <f t="shared" si="1"/>
        <v>0</v>
      </c>
      <c r="M28" s="19">
        <f t="shared" si="2"/>
        <v>0</v>
      </c>
      <c r="N28" s="19">
        <f t="shared" si="3"/>
        <v>0</v>
      </c>
      <c r="O28" s="19">
        <f t="shared" si="0"/>
        <v>0</v>
      </c>
      <c r="P28" s="48"/>
      <c r="Q28" s="16"/>
    </row>
    <row r="29" spans="1:19">
      <c r="A29" s="155" t="s">
        <v>110</v>
      </c>
      <c r="B29" s="244">
        <v>0</v>
      </c>
      <c r="C29" s="80">
        <v>80</v>
      </c>
      <c r="D29" s="45">
        <v>20</v>
      </c>
      <c r="E29" s="99">
        <v>50</v>
      </c>
      <c r="F29" s="80"/>
      <c r="G29" s="60">
        <v>12</v>
      </c>
      <c r="H29" s="60"/>
      <c r="I29" s="60" t="s">
        <v>399</v>
      </c>
      <c r="J29" s="45"/>
      <c r="K29" s="324">
        <v>120</v>
      </c>
      <c r="L29" s="19">
        <f t="shared" si="1"/>
        <v>0</v>
      </c>
      <c r="M29" s="19">
        <f t="shared" si="2"/>
        <v>0</v>
      </c>
      <c r="N29" s="19">
        <f t="shared" si="3"/>
        <v>0</v>
      </c>
      <c r="O29" s="19">
        <f t="shared" si="0"/>
        <v>0</v>
      </c>
      <c r="P29" s="48"/>
      <c r="Q29" s="16"/>
    </row>
    <row r="30" spans="1:19">
      <c r="A30" s="157" t="s">
        <v>111</v>
      </c>
      <c r="B30" s="244">
        <v>0</v>
      </c>
      <c r="C30" s="80">
        <v>30</v>
      </c>
      <c r="D30" s="45">
        <v>20</v>
      </c>
      <c r="E30" s="99">
        <v>50</v>
      </c>
      <c r="F30" s="80">
        <v>24</v>
      </c>
      <c r="G30" s="60">
        <v>12</v>
      </c>
      <c r="H30" s="60"/>
      <c r="I30" s="60" t="s">
        <v>399</v>
      </c>
      <c r="J30" s="45"/>
      <c r="K30" s="324">
        <v>120</v>
      </c>
      <c r="L30" s="19">
        <f t="shared" si="1"/>
        <v>0</v>
      </c>
      <c r="M30" s="19">
        <f t="shared" si="2"/>
        <v>0</v>
      </c>
      <c r="N30" s="19">
        <f t="shared" si="3"/>
        <v>0</v>
      </c>
      <c r="O30" s="19">
        <f t="shared" si="0"/>
        <v>0</v>
      </c>
      <c r="P30" s="48"/>
      <c r="Q30" s="58" t="s">
        <v>112</v>
      </c>
    </row>
    <row r="31" spans="1:19">
      <c r="A31" s="157" t="s">
        <v>113</v>
      </c>
      <c r="B31" s="244">
        <v>0</v>
      </c>
      <c r="C31" s="80">
        <v>53</v>
      </c>
      <c r="D31" s="45">
        <v>35</v>
      </c>
      <c r="E31" s="99">
        <v>88</v>
      </c>
      <c r="F31" s="80"/>
      <c r="G31" s="60">
        <v>12</v>
      </c>
      <c r="H31" s="60"/>
      <c r="I31" s="60" t="s">
        <v>399</v>
      </c>
      <c r="J31" s="45"/>
      <c r="K31" s="324">
        <v>120</v>
      </c>
      <c r="L31" s="19">
        <f t="shared" si="1"/>
        <v>0</v>
      </c>
      <c r="M31" s="19">
        <f t="shared" si="2"/>
        <v>0</v>
      </c>
      <c r="N31" s="19">
        <f t="shared" si="3"/>
        <v>0</v>
      </c>
      <c r="O31" s="19">
        <f t="shared" si="0"/>
        <v>0</v>
      </c>
      <c r="P31" s="48"/>
      <c r="Q31" s="16"/>
    </row>
    <row r="32" spans="1:19">
      <c r="A32" s="157" t="s">
        <v>114</v>
      </c>
      <c r="B32" s="244">
        <v>0</v>
      </c>
      <c r="C32" s="80">
        <v>100</v>
      </c>
      <c r="D32" s="45">
        <v>20</v>
      </c>
      <c r="E32" s="99">
        <v>50</v>
      </c>
      <c r="F32" s="80"/>
      <c r="G32" s="60">
        <v>12</v>
      </c>
      <c r="H32" s="60"/>
      <c r="I32" s="60" t="s">
        <v>399</v>
      </c>
      <c r="J32" s="45"/>
      <c r="K32" s="324">
        <v>120</v>
      </c>
      <c r="L32" s="19">
        <f t="shared" si="1"/>
        <v>0</v>
      </c>
      <c r="M32" s="19">
        <f t="shared" si="2"/>
        <v>0</v>
      </c>
      <c r="N32" s="19">
        <f t="shared" si="3"/>
        <v>0</v>
      </c>
      <c r="O32" s="19">
        <f t="shared" si="0"/>
        <v>0</v>
      </c>
      <c r="P32" s="48"/>
      <c r="Q32" s="16"/>
    </row>
    <row r="33" spans="1:19">
      <c r="A33" s="157" t="s">
        <v>115</v>
      </c>
      <c r="B33" s="244">
        <v>0</v>
      </c>
      <c r="C33" s="80">
        <v>80</v>
      </c>
      <c r="D33" s="45">
        <v>30</v>
      </c>
      <c r="E33" s="99">
        <v>60</v>
      </c>
      <c r="F33" s="80"/>
      <c r="G33" s="60">
        <v>12</v>
      </c>
      <c r="H33" s="60"/>
      <c r="I33" s="60" t="s">
        <v>398</v>
      </c>
      <c r="J33" s="45"/>
      <c r="K33" s="324">
        <v>120</v>
      </c>
      <c r="L33" s="19">
        <f t="shared" si="1"/>
        <v>0</v>
      </c>
      <c r="M33" s="19">
        <f t="shared" si="2"/>
        <v>0</v>
      </c>
      <c r="N33" s="19">
        <f t="shared" si="3"/>
        <v>0</v>
      </c>
      <c r="O33" s="19">
        <f t="shared" si="0"/>
        <v>0</v>
      </c>
      <c r="P33" s="48"/>
      <c r="Q33" s="16"/>
    </row>
    <row r="34" spans="1:19">
      <c r="A34" s="158" t="s">
        <v>116</v>
      </c>
      <c r="B34" s="244">
        <v>0</v>
      </c>
      <c r="C34" s="80">
        <v>150</v>
      </c>
      <c r="D34" s="45">
        <v>100</v>
      </c>
      <c r="E34" s="99">
        <v>250</v>
      </c>
      <c r="F34" s="80"/>
      <c r="G34" s="60">
        <v>12</v>
      </c>
      <c r="H34" s="60"/>
      <c r="I34" s="60" t="s">
        <v>399</v>
      </c>
      <c r="J34" s="45"/>
      <c r="K34" s="324">
        <v>120</v>
      </c>
      <c r="L34" s="19">
        <f t="shared" si="1"/>
        <v>0</v>
      </c>
      <c r="M34" s="19">
        <f t="shared" si="2"/>
        <v>0</v>
      </c>
      <c r="N34" s="19">
        <f t="shared" si="3"/>
        <v>0</v>
      </c>
      <c r="O34" s="19">
        <f t="shared" si="0"/>
        <v>0</v>
      </c>
      <c r="P34" s="48" t="s">
        <v>88</v>
      </c>
      <c r="Q34" s="16"/>
    </row>
    <row r="35" spans="1:19">
      <c r="A35" s="158" t="s">
        <v>117</v>
      </c>
      <c r="B35" s="244">
        <v>0</v>
      </c>
      <c r="C35" s="80">
        <v>100</v>
      </c>
      <c r="D35" s="45">
        <v>50</v>
      </c>
      <c r="E35" s="99">
        <v>125</v>
      </c>
      <c r="F35" s="80"/>
      <c r="G35" s="60">
        <v>12</v>
      </c>
      <c r="H35" s="60"/>
      <c r="I35" s="60" t="s">
        <v>399</v>
      </c>
      <c r="J35" s="45"/>
      <c r="K35" s="324">
        <v>120</v>
      </c>
      <c r="L35" s="19">
        <f t="shared" si="1"/>
        <v>0</v>
      </c>
      <c r="M35" s="19">
        <f t="shared" si="2"/>
        <v>0</v>
      </c>
      <c r="N35" s="19">
        <f t="shared" si="3"/>
        <v>0</v>
      </c>
      <c r="O35" s="19">
        <f t="shared" si="0"/>
        <v>0</v>
      </c>
      <c r="P35" s="48" t="s">
        <v>88</v>
      </c>
      <c r="Q35" s="16"/>
    </row>
    <row r="36" spans="1:19">
      <c r="A36" s="650" t="s">
        <v>118</v>
      </c>
      <c r="B36" s="244">
        <v>0</v>
      </c>
      <c r="C36" s="80">
        <v>400</v>
      </c>
      <c r="D36" s="45">
        <v>300</v>
      </c>
      <c r="E36" s="99">
        <v>350</v>
      </c>
      <c r="F36" s="80"/>
      <c r="G36" s="60">
        <v>12</v>
      </c>
      <c r="H36" s="60"/>
      <c r="I36" s="60" t="s">
        <v>399</v>
      </c>
      <c r="J36" s="45"/>
      <c r="K36" s="324">
        <v>120</v>
      </c>
      <c r="L36" s="19">
        <f t="shared" si="1"/>
        <v>0</v>
      </c>
      <c r="M36" s="19">
        <f t="shared" si="2"/>
        <v>0</v>
      </c>
      <c r="N36" s="19">
        <f t="shared" si="3"/>
        <v>0</v>
      </c>
      <c r="O36" s="19">
        <f t="shared" si="0"/>
        <v>0</v>
      </c>
      <c r="P36" s="48" t="s">
        <v>88</v>
      </c>
      <c r="Q36" s="16"/>
    </row>
    <row r="37" spans="1:19" ht="15.75" thickBot="1">
      <c r="A37" s="159" t="s">
        <v>119</v>
      </c>
      <c r="B37" s="245">
        <v>0</v>
      </c>
      <c r="C37" s="81">
        <v>300</v>
      </c>
      <c r="D37" s="49">
        <v>200</v>
      </c>
      <c r="E37" s="100">
        <v>500</v>
      </c>
      <c r="F37" s="81"/>
      <c r="G37" s="59">
        <v>12</v>
      </c>
      <c r="H37" s="59"/>
      <c r="I37" s="59" t="s">
        <v>399</v>
      </c>
      <c r="J37" s="49"/>
      <c r="K37" s="325">
        <v>120</v>
      </c>
      <c r="L37" s="21">
        <f t="shared" si="1"/>
        <v>0</v>
      </c>
      <c r="M37" s="21">
        <f t="shared" si="2"/>
        <v>0</v>
      </c>
      <c r="N37" s="21">
        <f t="shared" si="3"/>
        <v>0</v>
      </c>
      <c r="O37" s="21">
        <f t="shared" si="0"/>
        <v>0</v>
      </c>
      <c r="P37" s="17"/>
      <c r="Q37" s="17"/>
    </row>
    <row r="38" spans="1:19">
      <c r="A38" s="154" t="s">
        <v>532</v>
      </c>
      <c r="B38" s="243">
        <v>0</v>
      </c>
      <c r="C38" s="79">
        <v>2</v>
      </c>
      <c r="D38" s="13">
        <v>40</v>
      </c>
      <c r="E38" s="53">
        <v>10</v>
      </c>
      <c r="F38" s="13">
        <v>4</v>
      </c>
      <c r="G38" s="60">
        <v>2</v>
      </c>
      <c r="H38" s="60">
        <v>4</v>
      </c>
      <c r="I38" s="60" t="s">
        <v>398</v>
      </c>
      <c r="J38" s="13">
        <v>1</v>
      </c>
      <c r="K38" s="53">
        <v>150</v>
      </c>
      <c r="L38" s="42">
        <f t="shared" si="1"/>
        <v>0</v>
      </c>
      <c r="M38" s="42">
        <f t="shared" si="2"/>
        <v>0</v>
      </c>
      <c r="N38" s="42">
        <f t="shared" si="3"/>
        <v>0</v>
      </c>
      <c r="O38" s="42">
        <f t="shared" si="0"/>
        <v>0</v>
      </c>
      <c r="P38" s="38"/>
      <c r="Q38" s="44" t="s">
        <v>121</v>
      </c>
    </row>
    <row r="39" spans="1:19" ht="15.75">
      <c r="A39" s="155" t="s">
        <v>120</v>
      </c>
      <c r="B39" s="244">
        <v>0</v>
      </c>
      <c r="C39" s="80">
        <v>2</v>
      </c>
      <c r="D39" s="45">
        <v>40</v>
      </c>
      <c r="E39" s="99">
        <v>20</v>
      </c>
      <c r="F39" s="45">
        <v>8</v>
      </c>
      <c r="G39" s="60">
        <v>12</v>
      </c>
      <c r="H39" s="60"/>
      <c r="I39" s="60" t="s">
        <v>398</v>
      </c>
      <c r="J39" s="45">
        <v>1</v>
      </c>
      <c r="K39" s="324">
        <v>150</v>
      </c>
      <c r="L39" s="19">
        <f t="shared" si="1"/>
        <v>0</v>
      </c>
      <c r="M39" s="19">
        <f t="shared" si="2"/>
        <v>0</v>
      </c>
      <c r="N39" s="19">
        <f t="shared" si="3"/>
        <v>0</v>
      </c>
      <c r="O39" s="19">
        <f t="shared" si="0"/>
        <v>0</v>
      </c>
      <c r="P39" s="48"/>
      <c r="Q39" s="47" t="s">
        <v>121</v>
      </c>
      <c r="S39" s="547"/>
    </row>
    <row r="40" spans="1:19">
      <c r="A40" s="157" t="s">
        <v>122</v>
      </c>
      <c r="B40" s="244">
        <v>0</v>
      </c>
      <c r="C40" s="80">
        <v>2</v>
      </c>
      <c r="D40" s="45">
        <v>40</v>
      </c>
      <c r="E40" s="99">
        <v>20</v>
      </c>
      <c r="F40" s="45">
        <v>8</v>
      </c>
      <c r="G40" s="60">
        <v>12</v>
      </c>
      <c r="H40" s="60"/>
      <c r="I40" s="60" t="s">
        <v>398</v>
      </c>
      <c r="J40" s="45"/>
      <c r="K40" s="324">
        <v>150</v>
      </c>
      <c r="L40" s="19">
        <f t="shared" si="1"/>
        <v>0</v>
      </c>
      <c r="M40" s="19">
        <f t="shared" si="2"/>
        <v>0</v>
      </c>
      <c r="N40" s="19">
        <f t="shared" si="3"/>
        <v>0</v>
      </c>
      <c r="O40" s="19">
        <f t="shared" si="0"/>
        <v>0</v>
      </c>
      <c r="P40" s="48"/>
      <c r="Q40" s="47" t="s">
        <v>93</v>
      </c>
    </row>
    <row r="41" spans="1:19">
      <c r="A41" s="158" t="s">
        <v>123</v>
      </c>
      <c r="B41" s="244">
        <v>0</v>
      </c>
      <c r="C41" s="80">
        <v>2</v>
      </c>
      <c r="D41" s="45">
        <v>40</v>
      </c>
      <c r="E41" s="99">
        <v>50</v>
      </c>
      <c r="F41" s="45">
        <v>20</v>
      </c>
      <c r="G41" s="60">
        <v>12</v>
      </c>
      <c r="H41" s="60"/>
      <c r="I41" s="60" t="s">
        <v>398</v>
      </c>
      <c r="J41" s="45"/>
      <c r="K41" s="324">
        <v>150</v>
      </c>
      <c r="L41" s="19">
        <f t="shared" si="1"/>
        <v>0</v>
      </c>
      <c r="M41" s="19">
        <f t="shared" si="2"/>
        <v>0</v>
      </c>
      <c r="N41" s="19">
        <f t="shared" si="3"/>
        <v>0</v>
      </c>
      <c r="O41" s="19">
        <f t="shared" si="0"/>
        <v>0</v>
      </c>
      <c r="P41" s="48"/>
      <c r="Q41" s="47" t="s">
        <v>124</v>
      </c>
    </row>
    <row r="42" spans="1:19" ht="15.75" thickBot="1">
      <c r="A42" s="159" t="s">
        <v>125</v>
      </c>
      <c r="B42" s="245">
        <v>0</v>
      </c>
      <c r="C42" s="80">
        <v>2</v>
      </c>
      <c r="D42" s="45">
        <v>40</v>
      </c>
      <c r="E42" s="99">
        <v>200</v>
      </c>
      <c r="F42" s="45">
        <v>100</v>
      </c>
      <c r="G42" s="60">
        <v>12</v>
      </c>
      <c r="H42" s="60"/>
      <c r="I42" s="60" t="s">
        <v>398</v>
      </c>
      <c r="J42" s="45"/>
      <c r="K42" s="324">
        <v>150</v>
      </c>
      <c r="L42" s="21">
        <f t="shared" si="1"/>
        <v>0</v>
      </c>
      <c r="M42" s="21">
        <f t="shared" si="2"/>
        <v>0</v>
      </c>
      <c r="N42" s="21">
        <f t="shared" si="3"/>
        <v>0</v>
      </c>
      <c r="O42" s="21">
        <f t="shared" si="0"/>
        <v>0</v>
      </c>
      <c r="P42" s="55"/>
      <c r="Q42" s="51" t="s">
        <v>126</v>
      </c>
    </row>
    <row r="43" spans="1:19">
      <c r="A43" s="154" t="s">
        <v>661</v>
      </c>
      <c r="B43" s="243">
        <v>0</v>
      </c>
      <c r="C43" s="39">
        <v>100</v>
      </c>
      <c r="D43" s="40">
        <v>80</v>
      </c>
      <c r="E43" s="52">
        <v>120</v>
      </c>
      <c r="F43" s="39"/>
      <c r="G43" s="70">
        <v>7</v>
      </c>
      <c r="H43" s="70">
        <v>15</v>
      </c>
      <c r="I43" s="70" t="s">
        <v>399</v>
      </c>
      <c r="J43" s="40">
        <v>10</v>
      </c>
      <c r="K43" s="52">
        <v>200</v>
      </c>
      <c r="L43" s="42">
        <f t="shared" si="1"/>
        <v>0</v>
      </c>
      <c r="M43" s="42">
        <f t="shared" si="2"/>
        <v>0</v>
      </c>
      <c r="N43" s="42">
        <f t="shared" si="3"/>
        <v>0</v>
      </c>
      <c r="O43" s="42">
        <f t="shared" si="0"/>
        <v>0</v>
      </c>
      <c r="P43" s="38"/>
      <c r="Q43" s="44"/>
    </row>
    <row r="44" spans="1:19">
      <c r="A44" s="155" t="s">
        <v>127</v>
      </c>
      <c r="B44" s="244">
        <v>0</v>
      </c>
      <c r="C44" s="80">
        <v>150</v>
      </c>
      <c r="D44" s="45">
        <v>100</v>
      </c>
      <c r="E44" s="99">
        <v>125</v>
      </c>
      <c r="F44" s="80"/>
      <c r="G44" s="60">
        <v>15</v>
      </c>
      <c r="H44" s="60"/>
      <c r="I44" s="60" t="s">
        <v>399</v>
      </c>
      <c r="J44" s="45"/>
      <c r="K44" s="53">
        <v>200</v>
      </c>
      <c r="L44" s="19">
        <f t="shared" si="1"/>
        <v>0</v>
      </c>
      <c r="M44" s="19">
        <f t="shared" si="2"/>
        <v>0</v>
      </c>
      <c r="N44" s="19">
        <f t="shared" si="3"/>
        <v>0</v>
      </c>
      <c r="O44" s="19">
        <f t="shared" si="0"/>
        <v>0</v>
      </c>
      <c r="P44" s="48"/>
      <c r="Q44" s="26"/>
    </row>
    <row r="45" spans="1:19">
      <c r="A45" s="155" t="s">
        <v>128</v>
      </c>
      <c r="B45" s="244">
        <v>0</v>
      </c>
      <c r="C45" s="80">
        <v>100</v>
      </c>
      <c r="D45" s="45">
        <v>140</v>
      </c>
      <c r="E45" s="99">
        <v>120</v>
      </c>
      <c r="F45" s="80"/>
      <c r="G45" s="60">
        <v>15</v>
      </c>
      <c r="H45" s="60"/>
      <c r="I45" s="60" t="s">
        <v>399</v>
      </c>
      <c r="J45" s="45"/>
      <c r="K45" s="53">
        <v>200</v>
      </c>
      <c r="L45" s="19">
        <f t="shared" si="1"/>
        <v>0</v>
      </c>
      <c r="M45" s="19">
        <f t="shared" si="2"/>
        <v>0</v>
      </c>
      <c r="N45" s="19">
        <f t="shared" si="3"/>
        <v>0</v>
      </c>
      <c r="O45" s="19">
        <f t="shared" si="0"/>
        <v>0</v>
      </c>
      <c r="P45" s="48"/>
      <c r="Q45" s="26"/>
    </row>
    <row r="46" spans="1:19">
      <c r="A46" s="155" t="s">
        <v>129</v>
      </c>
      <c r="B46" s="244">
        <v>0</v>
      </c>
      <c r="C46" s="80">
        <v>220</v>
      </c>
      <c r="D46" s="45">
        <v>45</v>
      </c>
      <c r="E46" s="99">
        <v>120</v>
      </c>
      <c r="F46" s="80"/>
      <c r="G46" s="60">
        <v>15</v>
      </c>
      <c r="H46" s="60"/>
      <c r="I46" s="60" t="s">
        <v>398</v>
      </c>
      <c r="J46" s="45"/>
      <c r="K46" s="53">
        <v>200</v>
      </c>
      <c r="L46" s="19">
        <f t="shared" si="1"/>
        <v>0</v>
      </c>
      <c r="M46" s="19">
        <f t="shared" si="2"/>
        <v>0</v>
      </c>
      <c r="N46" s="19">
        <f t="shared" si="3"/>
        <v>0</v>
      </c>
      <c r="O46" s="19">
        <f t="shared" si="0"/>
        <v>0</v>
      </c>
      <c r="P46" s="48"/>
      <c r="Q46" s="26"/>
    </row>
    <row r="47" spans="1:19">
      <c r="A47" s="155" t="s">
        <v>130</v>
      </c>
      <c r="B47" s="244">
        <v>0</v>
      </c>
      <c r="C47" s="80">
        <v>275</v>
      </c>
      <c r="D47" s="45">
        <v>40</v>
      </c>
      <c r="E47" s="99">
        <v>60</v>
      </c>
      <c r="F47" s="80"/>
      <c r="G47" s="60">
        <v>15</v>
      </c>
      <c r="H47" s="60"/>
      <c r="I47" s="60" t="s">
        <v>400</v>
      </c>
      <c r="J47" s="45"/>
      <c r="K47" s="53">
        <v>200</v>
      </c>
      <c r="L47" s="19">
        <f t="shared" si="1"/>
        <v>0</v>
      </c>
      <c r="M47" s="19">
        <f t="shared" si="2"/>
        <v>0</v>
      </c>
      <c r="N47" s="19">
        <f t="shared" si="3"/>
        <v>0</v>
      </c>
      <c r="O47" s="19">
        <f t="shared" si="0"/>
        <v>0</v>
      </c>
      <c r="P47" s="48"/>
      <c r="Q47" s="26"/>
    </row>
    <row r="48" spans="1:19">
      <c r="A48" s="155" t="s">
        <v>131</v>
      </c>
      <c r="B48" s="244">
        <v>0</v>
      </c>
      <c r="C48" s="80">
        <v>90</v>
      </c>
      <c r="D48" s="45">
        <v>120</v>
      </c>
      <c r="E48" s="99">
        <v>175</v>
      </c>
      <c r="F48" s="80"/>
      <c r="G48" s="60">
        <v>15</v>
      </c>
      <c r="H48" s="60"/>
      <c r="I48" s="60" t="s">
        <v>399</v>
      </c>
      <c r="J48" s="45"/>
      <c r="K48" s="53">
        <v>200</v>
      </c>
      <c r="L48" s="19">
        <f t="shared" si="1"/>
        <v>0</v>
      </c>
      <c r="M48" s="19">
        <f t="shared" si="2"/>
        <v>0</v>
      </c>
      <c r="N48" s="19">
        <f t="shared" si="3"/>
        <v>0</v>
      </c>
      <c r="O48" s="19">
        <f t="shared" si="0"/>
        <v>0</v>
      </c>
      <c r="P48" s="48"/>
      <c r="Q48" s="26"/>
    </row>
    <row r="49" spans="1:20" ht="15.75">
      <c r="A49" s="155" t="s">
        <v>132</v>
      </c>
      <c r="B49" s="244">
        <v>0</v>
      </c>
      <c r="C49" s="80">
        <v>125</v>
      </c>
      <c r="D49" s="45">
        <v>100</v>
      </c>
      <c r="E49" s="99">
        <v>150</v>
      </c>
      <c r="F49" s="80"/>
      <c r="G49" s="60">
        <v>15</v>
      </c>
      <c r="H49" s="60"/>
      <c r="I49" s="60" t="s">
        <v>399</v>
      </c>
      <c r="J49" s="45"/>
      <c r="K49" s="53">
        <v>200</v>
      </c>
      <c r="L49" s="19">
        <f t="shared" si="1"/>
        <v>0</v>
      </c>
      <c r="M49" s="19">
        <f t="shared" si="2"/>
        <v>0</v>
      </c>
      <c r="N49" s="19">
        <f t="shared" si="3"/>
        <v>0</v>
      </c>
      <c r="O49" s="19">
        <f t="shared" si="0"/>
        <v>0</v>
      </c>
      <c r="P49" s="48"/>
      <c r="Q49" s="26"/>
      <c r="S49" s="547"/>
    </row>
    <row r="50" spans="1:20">
      <c r="A50" s="157" t="s">
        <v>133</v>
      </c>
      <c r="B50" s="244">
        <v>0</v>
      </c>
      <c r="C50" s="80">
        <v>100</v>
      </c>
      <c r="D50" s="45">
        <v>110</v>
      </c>
      <c r="E50" s="99">
        <v>180</v>
      </c>
      <c r="F50" s="80"/>
      <c r="G50" s="60">
        <v>15</v>
      </c>
      <c r="H50" s="60"/>
      <c r="I50" s="60" t="s">
        <v>399</v>
      </c>
      <c r="J50" s="45"/>
      <c r="K50" s="53">
        <v>200</v>
      </c>
      <c r="L50" s="19">
        <f t="shared" si="1"/>
        <v>0</v>
      </c>
      <c r="M50" s="19">
        <f t="shared" si="2"/>
        <v>0</v>
      </c>
      <c r="N50" s="19">
        <f t="shared" si="3"/>
        <v>0</v>
      </c>
      <c r="O50" s="19">
        <f t="shared" si="0"/>
        <v>0</v>
      </c>
      <c r="P50" s="48"/>
      <c r="Q50" s="26"/>
    </row>
    <row r="51" spans="1:20">
      <c r="A51" s="157" t="s">
        <v>134</v>
      </c>
      <c r="B51" s="244">
        <v>0</v>
      </c>
      <c r="C51" s="80">
        <v>200</v>
      </c>
      <c r="D51" s="45">
        <v>100</v>
      </c>
      <c r="E51" s="99">
        <v>235</v>
      </c>
      <c r="F51" s="80"/>
      <c r="G51" s="60">
        <v>15</v>
      </c>
      <c r="H51" s="60"/>
      <c r="I51" s="60" t="s">
        <v>399</v>
      </c>
      <c r="J51" s="45"/>
      <c r="K51" s="53">
        <v>200</v>
      </c>
      <c r="L51" s="19">
        <f t="shared" si="1"/>
        <v>0</v>
      </c>
      <c r="M51" s="19">
        <f t="shared" si="2"/>
        <v>0</v>
      </c>
      <c r="N51" s="19">
        <f t="shared" si="3"/>
        <v>0</v>
      </c>
      <c r="O51" s="19">
        <f t="shared" si="0"/>
        <v>0</v>
      </c>
      <c r="P51" s="48"/>
      <c r="Q51" s="26"/>
    </row>
    <row r="52" spans="1:20">
      <c r="A52" s="157" t="s">
        <v>135</v>
      </c>
      <c r="B52" s="244">
        <v>0</v>
      </c>
      <c r="C52" s="80">
        <v>175</v>
      </c>
      <c r="D52" s="45">
        <v>140</v>
      </c>
      <c r="E52" s="99">
        <v>210</v>
      </c>
      <c r="F52" s="80"/>
      <c r="G52" s="60">
        <v>15</v>
      </c>
      <c r="H52" s="60"/>
      <c r="I52" s="60" t="s">
        <v>399</v>
      </c>
      <c r="J52" s="45"/>
      <c r="K52" s="53">
        <v>200</v>
      </c>
      <c r="L52" s="19">
        <f t="shared" si="1"/>
        <v>0</v>
      </c>
      <c r="M52" s="19">
        <f t="shared" si="2"/>
        <v>0</v>
      </c>
      <c r="N52" s="19">
        <f t="shared" si="3"/>
        <v>0</v>
      </c>
      <c r="O52" s="19">
        <f t="shared" si="0"/>
        <v>0</v>
      </c>
      <c r="P52" s="48"/>
      <c r="Q52" s="26"/>
    </row>
    <row r="53" spans="1:20">
      <c r="A53" s="157" t="s">
        <v>136</v>
      </c>
      <c r="B53" s="244">
        <v>0</v>
      </c>
      <c r="C53" s="80">
        <v>125</v>
      </c>
      <c r="D53" s="45">
        <v>100</v>
      </c>
      <c r="E53" s="99">
        <v>150</v>
      </c>
      <c r="F53" s="80">
        <v>108</v>
      </c>
      <c r="G53" s="60">
        <v>15</v>
      </c>
      <c r="H53" s="60"/>
      <c r="I53" s="60" t="s">
        <v>399</v>
      </c>
      <c r="J53" s="45"/>
      <c r="K53" s="53">
        <v>200</v>
      </c>
      <c r="L53" s="19">
        <f t="shared" si="1"/>
        <v>0</v>
      </c>
      <c r="M53" s="19">
        <f t="shared" si="2"/>
        <v>0</v>
      </c>
      <c r="N53" s="19">
        <f t="shared" si="3"/>
        <v>0</v>
      </c>
      <c r="O53" s="19">
        <f t="shared" si="0"/>
        <v>0</v>
      </c>
      <c r="P53" s="48"/>
      <c r="Q53" s="47" t="s">
        <v>137</v>
      </c>
    </row>
    <row r="54" spans="1:20">
      <c r="A54" s="158" t="s">
        <v>138</v>
      </c>
      <c r="B54" s="244">
        <v>0</v>
      </c>
      <c r="C54" s="80">
        <v>350</v>
      </c>
      <c r="D54" s="45">
        <v>280</v>
      </c>
      <c r="E54" s="99">
        <v>420</v>
      </c>
      <c r="F54" s="80"/>
      <c r="G54" s="60">
        <v>15</v>
      </c>
      <c r="H54" s="60"/>
      <c r="I54" s="60" t="s">
        <v>399</v>
      </c>
      <c r="J54" s="45"/>
      <c r="K54" s="53">
        <v>200</v>
      </c>
      <c r="L54" s="19">
        <f t="shared" si="1"/>
        <v>0</v>
      </c>
      <c r="M54" s="19">
        <f t="shared" si="2"/>
        <v>0</v>
      </c>
      <c r="N54" s="19">
        <f t="shared" si="3"/>
        <v>0</v>
      </c>
      <c r="O54" s="19">
        <f t="shared" si="0"/>
        <v>0</v>
      </c>
      <c r="P54" s="48"/>
      <c r="Q54" s="26"/>
    </row>
    <row r="55" spans="1:20">
      <c r="A55" s="158" t="s">
        <v>139</v>
      </c>
      <c r="B55" s="244">
        <v>0</v>
      </c>
      <c r="C55" s="80">
        <v>550</v>
      </c>
      <c r="D55" s="45">
        <v>230</v>
      </c>
      <c r="E55" s="99">
        <v>420</v>
      </c>
      <c r="F55" s="80"/>
      <c r="G55" s="60">
        <v>15</v>
      </c>
      <c r="H55" s="60"/>
      <c r="I55" s="60" t="s">
        <v>399</v>
      </c>
      <c r="J55" s="45"/>
      <c r="K55" s="53">
        <v>200</v>
      </c>
      <c r="L55" s="19">
        <f t="shared" si="1"/>
        <v>0</v>
      </c>
      <c r="M55" s="19">
        <f t="shared" si="2"/>
        <v>0</v>
      </c>
      <c r="N55" s="19">
        <f t="shared" si="3"/>
        <v>0</v>
      </c>
      <c r="O55" s="19">
        <f t="shared" si="0"/>
        <v>0</v>
      </c>
      <c r="P55" s="48"/>
      <c r="Q55" s="26"/>
    </row>
    <row r="56" spans="1:20" ht="15.75" thickBot="1">
      <c r="A56" s="159" t="s">
        <v>140</v>
      </c>
      <c r="B56" s="245">
        <v>0</v>
      </c>
      <c r="C56" s="81">
        <v>800</v>
      </c>
      <c r="D56" s="49">
        <v>640</v>
      </c>
      <c r="E56" s="100">
        <v>960</v>
      </c>
      <c r="F56" s="81"/>
      <c r="G56" s="59">
        <v>15</v>
      </c>
      <c r="H56" s="59"/>
      <c r="I56" s="59" t="s">
        <v>399</v>
      </c>
      <c r="J56" s="49"/>
      <c r="K56" s="54">
        <v>200</v>
      </c>
      <c r="L56" s="21">
        <f t="shared" si="1"/>
        <v>0</v>
      </c>
      <c r="M56" s="21">
        <f t="shared" si="2"/>
        <v>0</v>
      </c>
      <c r="N56" s="21">
        <f t="shared" si="3"/>
        <v>0</v>
      </c>
      <c r="O56" s="21">
        <f t="shared" si="0"/>
        <v>0</v>
      </c>
      <c r="P56" s="55" t="s">
        <v>88</v>
      </c>
      <c r="Q56" s="56"/>
    </row>
    <row r="57" spans="1:20">
      <c r="A57" s="154" t="s">
        <v>535</v>
      </c>
      <c r="B57" s="243">
        <v>0</v>
      </c>
      <c r="C57" s="79">
        <v>80</v>
      </c>
      <c r="D57" s="13">
        <v>105</v>
      </c>
      <c r="E57" s="53">
        <v>130</v>
      </c>
      <c r="F57" s="13"/>
      <c r="G57" s="60">
        <v>9</v>
      </c>
      <c r="H57" s="60">
        <v>15</v>
      </c>
      <c r="I57" s="60" t="s">
        <v>38</v>
      </c>
      <c r="J57" s="13">
        <v>1</v>
      </c>
      <c r="K57" s="53">
        <v>230</v>
      </c>
      <c r="L57" s="42">
        <f t="shared" si="1"/>
        <v>0</v>
      </c>
      <c r="M57" s="42">
        <f t="shared" si="2"/>
        <v>0</v>
      </c>
      <c r="N57" s="42">
        <f t="shared" si="3"/>
        <v>0</v>
      </c>
      <c r="O57" s="42">
        <f t="shared" si="0"/>
        <v>0</v>
      </c>
      <c r="P57" s="38"/>
      <c r="Q57" s="38"/>
    </row>
    <row r="58" spans="1:20">
      <c r="A58" s="155" t="s">
        <v>141</v>
      </c>
      <c r="B58" s="244">
        <v>0</v>
      </c>
      <c r="C58" s="80">
        <v>72</v>
      </c>
      <c r="D58" s="45">
        <v>95</v>
      </c>
      <c r="E58" s="99">
        <v>117</v>
      </c>
      <c r="F58" s="45"/>
      <c r="G58" s="60">
        <v>10</v>
      </c>
      <c r="H58" s="60"/>
      <c r="I58" s="60" t="s">
        <v>38</v>
      </c>
      <c r="J58" s="45"/>
      <c r="K58" s="53">
        <v>230</v>
      </c>
      <c r="L58" s="19">
        <f t="shared" si="1"/>
        <v>0</v>
      </c>
      <c r="M58" s="19">
        <f t="shared" si="2"/>
        <v>0</v>
      </c>
      <c r="N58" s="19">
        <f t="shared" si="3"/>
        <v>0</v>
      </c>
      <c r="O58" s="19">
        <f t="shared" si="0"/>
        <v>0</v>
      </c>
      <c r="P58" s="48"/>
      <c r="Q58" s="16"/>
    </row>
    <row r="59" spans="1:20">
      <c r="A59" s="155" t="s">
        <v>142</v>
      </c>
      <c r="B59" s="244">
        <v>0</v>
      </c>
      <c r="C59" s="80">
        <v>120</v>
      </c>
      <c r="D59" s="45">
        <v>155</v>
      </c>
      <c r="E59" s="99">
        <v>130</v>
      </c>
      <c r="F59" s="45"/>
      <c r="G59" s="60">
        <v>10</v>
      </c>
      <c r="H59" s="60"/>
      <c r="I59" s="60" t="s">
        <v>38</v>
      </c>
      <c r="J59" s="45"/>
      <c r="K59" s="53">
        <v>230</v>
      </c>
      <c r="L59" s="19">
        <f t="shared" si="1"/>
        <v>0</v>
      </c>
      <c r="M59" s="19">
        <f t="shared" si="2"/>
        <v>0</v>
      </c>
      <c r="N59" s="19">
        <f t="shared" si="3"/>
        <v>0</v>
      </c>
      <c r="O59" s="19">
        <f t="shared" si="0"/>
        <v>0</v>
      </c>
      <c r="P59" s="48"/>
      <c r="Q59" s="16"/>
    </row>
    <row r="60" spans="1:20">
      <c r="A60" s="155" t="s">
        <v>143</v>
      </c>
      <c r="B60" s="244">
        <v>0</v>
      </c>
      <c r="C60" s="80">
        <v>140</v>
      </c>
      <c r="D60" s="45">
        <v>105</v>
      </c>
      <c r="E60" s="99">
        <v>130</v>
      </c>
      <c r="F60" s="45"/>
      <c r="G60" s="60">
        <v>10</v>
      </c>
      <c r="H60" s="60"/>
      <c r="I60" s="60" t="s">
        <v>38</v>
      </c>
      <c r="J60" s="45"/>
      <c r="K60" s="53">
        <v>230</v>
      </c>
      <c r="L60" s="19">
        <f t="shared" si="1"/>
        <v>0</v>
      </c>
      <c r="M60" s="19">
        <f t="shared" si="2"/>
        <v>0</v>
      </c>
      <c r="N60" s="19">
        <f t="shared" si="3"/>
        <v>0</v>
      </c>
      <c r="O60" s="19">
        <f t="shared" si="0"/>
        <v>0</v>
      </c>
      <c r="P60" s="48"/>
      <c r="Q60" s="16"/>
    </row>
    <row r="61" spans="1:20">
      <c r="A61" s="155" t="s">
        <v>144</v>
      </c>
      <c r="B61" s="244">
        <v>0</v>
      </c>
      <c r="C61" s="80">
        <v>85</v>
      </c>
      <c r="D61" s="45">
        <v>185</v>
      </c>
      <c r="E61" s="99">
        <v>140</v>
      </c>
      <c r="F61" s="45"/>
      <c r="G61" s="60">
        <v>10</v>
      </c>
      <c r="H61" s="60"/>
      <c r="I61" s="60" t="s">
        <v>38</v>
      </c>
      <c r="J61" s="45"/>
      <c r="K61" s="53">
        <v>230</v>
      </c>
      <c r="L61" s="19">
        <f t="shared" si="1"/>
        <v>0</v>
      </c>
      <c r="M61" s="19">
        <f t="shared" si="2"/>
        <v>0</v>
      </c>
      <c r="N61" s="19">
        <f t="shared" si="3"/>
        <v>0</v>
      </c>
      <c r="O61" s="19">
        <f t="shared" si="0"/>
        <v>0</v>
      </c>
      <c r="P61" s="48"/>
      <c r="Q61" s="16"/>
    </row>
    <row r="62" spans="1:20" ht="15.75">
      <c r="A62" s="155" t="s">
        <v>145</v>
      </c>
      <c r="B62" s="244">
        <v>0</v>
      </c>
      <c r="C62" s="80">
        <v>140</v>
      </c>
      <c r="D62" s="45">
        <v>110</v>
      </c>
      <c r="E62" s="99">
        <v>135</v>
      </c>
      <c r="F62" s="45"/>
      <c r="G62" s="60">
        <v>10</v>
      </c>
      <c r="H62" s="60"/>
      <c r="I62" s="60" t="s">
        <v>38</v>
      </c>
      <c r="J62" s="45"/>
      <c r="K62" s="53">
        <v>230</v>
      </c>
      <c r="L62" s="19">
        <f t="shared" si="1"/>
        <v>0</v>
      </c>
      <c r="M62" s="19">
        <f t="shared" si="2"/>
        <v>0</v>
      </c>
      <c r="N62" s="19">
        <f t="shared" si="3"/>
        <v>0</v>
      </c>
      <c r="O62" s="19">
        <f t="shared" si="0"/>
        <v>0</v>
      </c>
      <c r="P62" s="48"/>
      <c r="Q62" s="16"/>
      <c r="T62" s="547"/>
    </row>
    <row r="63" spans="1:20" ht="15.75">
      <c r="A63" s="155" t="s">
        <v>146</v>
      </c>
      <c r="B63" s="244">
        <v>0</v>
      </c>
      <c r="C63" s="80">
        <v>140</v>
      </c>
      <c r="D63" s="45">
        <v>105</v>
      </c>
      <c r="E63" s="99">
        <v>130</v>
      </c>
      <c r="F63" s="45"/>
      <c r="G63" s="60">
        <v>10</v>
      </c>
      <c r="H63" s="60"/>
      <c r="I63" s="60" t="s">
        <v>38</v>
      </c>
      <c r="J63" s="45"/>
      <c r="K63" s="53">
        <v>230</v>
      </c>
      <c r="L63" s="19">
        <f t="shared" si="1"/>
        <v>0</v>
      </c>
      <c r="M63" s="19">
        <f t="shared" si="2"/>
        <v>0</v>
      </c>
      <c r="N63" s="19">
        <f t="shared" si="3"/>
        <v>0</v>
      </c>
      <c r="O63" s="19">
        <f t="shared" si="0"/>
        <v>0</v>
      </c>
      <c r="P63" s="48"/>
      <c r="Q63" s="16"/>
      <c r="S63" s="547"/>
      <c r="T63" s="547"/>
    </row>
    <row r="64" spans="1:20" ht="15.75">
      <c r="A64" s="157" t="s">
        <v>147</v>
      </c>
      <c r="B64" s="244">
        <v>0</v>
      </c>
      <c r="C64" s="80">
        <v>140</v>
      </c>
      <c r="D64" s="45">
        <v>135</v>
      </c>
      <c r="E64" s="99">
        <v>170</v>
      </c>
      <c r="F64" s="45"/>
      <c r="G64" s="60">
        <v>10</v>
      </c>
      <c r="H64" s="60"/>
      <c r="I64" s="60" t="s">
        <v>38</v>
      </c>
      <c r="J64" s="45"/>
      <c r="K64" s="53">
        <v>230</v>
      </c>
      <c r="L64" s="19">
        <f t="shared" si="1"/>
        <v>0</v>
      </c>
      <c r="M64" s="19">
        <f t="shared" si="2"/>
        <v>0</v>
      </c>
      <c r="N64" s="19">
        <f t="shared" si="3"/>
        <v>0</v>
      </c>
      <c r="O64" s="19">
        <f t="shared" si="0"/>
        <v>0</v>
      </c>
      <c r="P64" s="48"/>
      <c r="Q64" s="16"/>
      <c r="T64" s="547"/>
    </row>
    <row r="65" spans="1:20" ht="15.75">
      <c r="A65" s="157" t="s">
        <v>148</v>
      </c>
      <c r="B65" s="244">
        <v>0</v>
      </c>
      <c r="C65" s="80">
        <v>180</v>
      </c>
      <c r="D65" s="45">
        <v>145</v>
      </c>
      <c r="E65" s="99">
        <v>200</v>
      </c>
      <c r="F65" s="45"/>
      <c r="G65" s="60">
        <v>10</v>
      </c>
      <c r="H65" s="60"/>
      <c r="I65" s="60" t="s">
        <v>396</v>
      </c>
      <c r="J65" s="45"/>
      <c r="K65" s="53">
        <v>230</v>
      </c>
      <c r="L65" s="19">
        <f t="shared" si="1"/>
        <v>0</v>
      </c>
      <c r="M65" s="19">
        <f t="shared" si="2"/>
        <v>0</v>
      </c>
      <c r="N65" s="19">
        <f t="shared" si="3"/>
        <v>0</v>
      </c>
      <c r="O65" s="19">
        <f t="shared" si="0"/>
        <v>0</v>
      </c>
      <c r="P65" s="48"/>
      <c r="Q65" s="16"/>
      <c r="T65" s="547"/>
    </row>
    <row r="66" spans="1:20" ht="15.75">
      <c r="A66" s="157" t="s">
        <v>149</v>
      </c>
      <c r="B66" s="244">
        <v>0</v>
      </c>
      <c r="C66" s="80">
        <v>200</v>
      </c>
      <c r="D66" s="45">
        <v>105</v>
      </c>
      <c r="E66" s="99">
        <v>225</v>
      </c>
      <c r="F66" s="45"/>
      <c r="G66" s="60">
        <v>10</v>
      </c>
      <c r="H66" s="60"/>
      <c r="I66" s="60" t="s">
        <v>38</v>
      </c>
      <c r="J66" s="45"/>
      <c r="K66" s="53">
        <v>230</v>
      </c>
      <c r="L66" s="19">
        <f t="shared" si="1"/>
        <v>0</v>
      </c>
      <c r="M66" s="19">
        <f t="shared" si="2"/>
        <v>0</v>
      </c>
      <c r="N66" s="19">
        <f t="shared" si="3"/>
        <v>0</v>
      </c>
      <c r="O66" s="19">
        <f t="shared" si="0"/>
        <v>0</v>
      </c>
      <c r="P66" s="48"/>
      <c r="Q66" s="16"/>
      <c r="T66" s="547"/>
    </row>
    <row r="67" spans="1:20" ht="15.75">
      <c r="A67" s="157" t="s">
        <v>150</v>
      </c>
      <c r="B67" s="244">
        <v>0</v>
      </c>
      <c r="C67" s="80">
        <v>15</v>
      </c>
      <c r="D67" s="45">
        <v>125</v>
      </c>
      <c r="E67" s="99">
        <v>500</v>
      </c>
      <c r="F67" s="45">
        <v>152</v>
      </c>
      <c r="G67" s="60">
        <v>10</v>
      </c>
      <c r="H67" s="60"/>
      <c r="I67" s="60" t="s">
        <v>400</v>
      </c>
      <c r="J67" s="45"/>
      <c r="K67" s="53">
        <v>230</v>
      </c>
      <c r="L67" s="19">
        <f t="shared" si="1"/>
        <v>0</v>
      </c>
      <c r="M67" s="19">
        <f t="shared" si="2"/>
        <v>0</v>
      </c>
      <c r="N67" s="19">
        <f t="shared" si="3"/>
        <v>0</v>
      </c>
      <c r="O67" s="19">
        <f t="shared" si="0"/>
        <v>0</v>
      </c>
      <c r="P67" s="48"/>
      <c r="Q67" s="48" t="s">
        <v>137</v>
      </c>
      <c r="T67" s="547"/>
    </row>
    <row r="68" spans="1:20" ht="15.75">
      <c r="A68" s="158" t="s">
        <v>151</v>
      </c>
      <c r="B68" s="244">
        <v>0</v>
      </c>
      <c r="C68" s="80">
        <v>400</v>
      </c>
      <c r="D68" s="45">
        <v>115</v>
      </c>
      <c r="E68" s="99">
        <v>200</v>
      </c>
      <c r="F68" s="45"/>
      <c r="G68" s="60">
        <v>10</v>
      </c>
      <c r="H68" s="60"/>
      <c r="I68" s="60" t="s">
        <v>38</v>
      </c>
      <c r="J68" s="45"/>
      <c r="K68" s="53">
        <v>230</v>
      </c>
      <c r="L68" s="19">
        <f t="shared" ref="L68:L151" si="4">$B68*C68</f>
        <v>0</v>
      </c>
      <c r="M68" s="19">
        <f t="shared" ref="M68:M151" si="5">$B68*D68</f>
        <v>0</v>
      </c>
      <c r="N68" s="19">
        <f t="shared" ref="N68:N151" si="6">$B68*E68</f>
        <v>0</v>
      </c>
      <c r="O68" s="19">
        <f t="shared" si="0"/>
        <v>0</v>
      </c>
      <c r="P68" s="48"/>
      <c r="Q68" s="16"/>
      <c r="T68" s="547"/>
    </row>
    <row r="69" spans="1:20" ht="15.75">
      <c r="A69" s="158" t="s">
        <v>152</v>
      </c>
      <c r="B69" s="244">
        <v>0</v>
      </c>
      <c r="C69" s="80">
        <v>250</v>
      </c>
      <c r="D69" s="45">
        <v>263</v>
      </c>
      <c r="E69" s="99">
        <v>525</v>
      </c>
      <c r="F69" s="45"/>
      <c r="G69" s="60">
        <v>10</v>
      </c>
      <c r="H69" s="60"/>
      <c r="I69" s="60" t="s">
        <v>38</v>
      </c>
      <c r="J69" s="45"/>
      <c r="K69" s="53">
        <v>230</v>
      </c>
      <c r="L69" s="19">
        <f t="shared" si="4"/>
        <v>0</v>
      </c>
      <c r="M69" s="19">
        <f t="shared" si="5"/>
        <v>0</v>
      </c>
      <c r="N69" s="19">
        <f t="shared" si="6"/>
        <v>0</v>
      </c>
      <c r="O69" s="19">
        <f t="shared" si="0"/>
        <v>0</v>
      </c>
      <c r="P69" s="48"/>
      <c r="Q69" s="16"/>
      <c r="T69" s="547"/>
    </row>
    <row r="70" spans="1:20" ht="16.5" thickBot="1">
      <c r="A70" s="650" t="s">
        <v>153</v>
      </c>
      <c r="B70" s="244">
        <v>0</v>
      </c>
      <c r="C70" s="80">
        <v>700</v>
      </c>
      <c r="D70" s="45">
        <v>525</v>
      </c>
      <c r="E70" s="99">
        <v>650</v>
      </c>
      <c r="F70" s="45"/>
      <c r="G70" s="60">
        <v>10</v>
      </c>
      <c r="H70" s="60"/>
      <c r="I70" s="60" t="s">
        <v>38</v>
      </c>
      <c r="J70" s="45"/>
      <c r="K70" s="53">
        <v>230</v>
      </c>
      <c r="L70" s="19">
        <f t="shared" si="4"/>
        <v>0</v>
      </c>
      <c r="M70" s="19">
        <f t="shared" si="5"/>
        <v>0</v>
      </c>
      <c r="N70" s="19">
        <f t="shared" si="6"/>
        <v>0</v>
      </c>
      <c r="O70" s="19">
        <f t="shared" si="0"/>
        <v>0</v>
      </c>
      <c r="P70" s="48" t="s">
        <v>88</v>
      </c>
      <c r="Q70" s="16"/>
      <c r="T70" s="547"/>
    </row>
    <row r="71" spans="1:20" ht="15.75">
      <c r="A71" s="154" t="s">
        <v>662</v>
      </c>
      <c r="B71" s="243">
        <v>0</v>
      </c>
      <c r="C71" s="168">
        <v>10</v>
      </c>
      <c r="D71" s="169">
        <v>20</v>
      </c>
      <c r="E71" s="170">
        <v>50</v>
      </c>
      <c r="F71" s="169">
        <v>40</v>
      </c>
      <c r="G71" s="70">
        <v>10</v>
      </c>
      <c r="H71" s="70"/>
      <c r="I71" s="70" t="s">
        <v>577</v>
      </c>
      <c r="J71" s="169">
        <v>1</v>
      </c>
      <c r="K71" s="52">
        <v>150</v>
      </c>
      <c r="L71" s="42">
        <f t="shared" si="4"/>
        <v>0</v>
      </c>
      <c r="M71" s="42">
        <f t="shared" si="5"/>
        <v>0</v>
      </c>
      <c r="N71" s="42">
        <f t="shared" si="6"/>
        <v>0</v>
      </c>
      <c r="O71" s="42">
        <f t="shared" si="0"/>
        <v>0</v>
      </c>
      <c r="P71" s="57"/>
      <c r="Q71" s="44" t="s">
        <v>181</v>
      </c>
      <c r="T71" s="547"/>
    </row>
    <row r="72" spans="1:20" ht="15.75">
      <c r="A72" s="155" t="s">
        <v>573</v>
      </c>
      <c r="B72" s="244">
        <v>0</v>
      </c>
      <c r="C72" s="80">
        <v>15</v>
      </c>
      <c r="D72" s="45">
        <v>30</v>
      </c>
      <c r="E72" s="99">
        <v>75</v>
      </c>
      <c r="F72" s="45">
        <v>60</v>
      </c>
      <c r="G72" s="60">
        <v>10</v>
      </c>
      <c r="H72" s="60"/>
      <c r="I72" s="60" t="s">
        <v>577</v>
      </c>
      <c r="J72" s="45"/>
      <c r="K72" s="53">
        <v>150</v>
      </c>
      <c r="L72" s="19">
        <f t="shared" si="4"/>
        <v>0</v>
      </c>
      <c r="M72" s="19">
        <f t="shared" si="5"/>
        <v>0</v>
      </c>
      <c r="N72" s="19">
        <f t="shared" si="6"/>
        <v>0</v>
      </c>
      <c r="O72" s="19">
        <f t="shared" si="0"/>
        <v>0</v>
      </c>
      <c r="P72" s="48"/>
      <c r="Q72" s="26" t="s">
        <v>181</v>
      </c>
      <c r="T72" s="547"/>
    </row>
    <row r="73" spans="1:20" ht="15.75">
      <c r="A73" s="157" t="s">
        <v>574</v>
      </c>
      <c r="B73" s="244">
        <v>0</v>
      </c>
      <c r="C73" s="80">
        <v>20</v>
      </c>
      <c r="D73" s="45">
        <v>40</v>
      </c>
      <c r="E73" s="99">
        <v>100</v>
      </c>
      <c r="F73" s="45">
        <v>80</v>
      </c>
      <c r="G73" s="60">
        <v>10</v>
      </c>
      <c r="H73" s="60"/>
      <c r="I73" s="60" t="s">
        <v>577</v>
      </c>
      <c r="J73" s="45"/>
      <c r="K73" s="53">
        <v>150</v>
      </c>
      <c r="L73" s="19">
        <f t="shared" si="4"/>
        <v>0</v>
      </c>
      <c r="M73" s="19">
        <f t="shared" si="5"/>
        <v>0</v>
      </c>
      <c r="N73" s="19">
        <f t="shared" si="6"/>
        <v>0</v>
      </c>
      <c r="O73" s="19">
        <f t="shared" si="0"/>
        <v>0</v>
      </c>
      <c r="P73" s="48"/>
      <c r="Q73" s="26" t="s">
        <v>181</v>
      </c>
      <c r="S73" s="547"/>
      <c r="T73" s="547"/>
    </row>
    <row r="74" spans="1:20" ht="15.75">
      <c r="A74" s="158" t="s">
        <v>575</v>
      </c>
      <c r="B74" s="244">
        <v>0</v>
      </c>
      <c r="C74" s="80">
        <v>30</v>
      </c>
      <c r="D74" s="45">
        <v>60</v>
      </c>
      <c r="E74" s="99">
        <v>150</v>
      </c>
      <c r="F74" s="45">
        <v>120</v>
      </c>
      <c r="G74" s="60">
        <v>10</v>
      </c>
      <c r="H74" s="60"/>
      <c r="I74" s="60" t="s">
        <v>577</v>
      </c>
      <c r="J74" s="45"/>
      <c r="K74" s="53">
        <v>150</v>
      </c>
      <c r="L74" s="19">
        <f t="shared" si="4"/>
        <v>0</v>
      </c>
      <c r="M74" s="19">
        <f t="shared" si="5"/>
        <v>0</v>
      </c>
      <c r="N74" s="19">
        <f t="shared" si="6"/>
        <v>0</v>
      </c>
      <c r="O74" s="19">
        <f t="shared" si="0"/>
        <v>0</v>
      </c>
      <c r="P74" s="48"/>
      <c r="Q74" s="26" t="s">
        <v>358</v>
      </c>
      <c r="T74" s="547"/>
    </row>
    <row r="75" spans="1:20" ht="16.5" thickBot="1">
      <c r="A75" s="650" t="s">
        <v>576</v>
      </c>
      <c r="B75" s="244">
        <v>0</v>
      </c>
      <c r="C75" s="80">
        <v>40</v>
      </c>
      <c r="D75" s="45">
        <v>80</v>
      </c>
      <c r="E75" s="99">
        <v>200</v>
      </c>
      <c r="F75" s="45">
        <v>160</v>
      </c>
      <c r="G75" s="60">
        <v>10</v>
      </c>
      <c r="H75" s="60"/>
      <c r="I75" s="60" t="s">
        <v>402</v>
      </c>
      <c r="J75" s="45"/>
      <c r="K75" s="53">
        <v>150</v>
      </c>
      <c r="L75" s="19">
        <f t="shared" si="4"/>
        <v>0</v>
      </c>
      <c r="M75" s="19">
        <f t="shared" si="5"/>
        <v>0</v>
      </c>
      <c r="N75" s="19">
        <f t="shared" si="6"/>
        <v>0</v>
      </c>
      <c r="O75" s="19">
        <f t="shared" si="0"/>
        <v>0</v>
      </c>
      <c r="P75" s="48"/>
      <c r="Q75" s="26" t="s">
        <v>358</v>
      </c>
      <c r="T75" s="547"/>
    </row>
    <row r="76" spans="1:20" ht="15.75">
      <c r="A76" s="154" t="s">
        <v>898</v>
      </c>
      <c r="B76" s="243">
        <v>0</v>
      </c>
      <c r="C76" s="39">
        <v>330</v>
      </c>
      <c r="D76" s="40">
        <v>300</v>
      </c>
      <c r="E76" s="52">
        <v>450</v>
      </c>
      <c r="F76" s="40"/>
      <c r="G76" s="70">
        <v>30</v>
      </c>
      <c r="H76" s="70">
        <v>40</v>
      </c>
      <c r="I76" s="70" t="s">
        <v>399</v>
      </c>
      <c r="J76" s="40"/>
      <c r="K76" s="52">
        <v>650</v>
      </c>
      <c r="L76" s="42">
        <f t="shared" ref="L76:L103" si="7">$B76*C76</f>
        <v>0</v>
      </c>
      <c r="M76" s="42">
        <f t="shared" si="5"/>
        <v>0</v>
      </c>
      <c r="N76" s="42">
        <f t="shared" si="6"/>
        <v>0</v>
      </c>
      <c r="O76" s="42">
        <f t="shared" ref="O76:O103" si="8">$B76*K76</f>
        <v>0</v>
      </c>
      <c r="P76" s="38"/>
      <c r="Q76" s="44"/>
      <c r="T76" s="547"/>
    </row>
    <row r="77" spans="1:20" ht="15.75">
      <c r="A77" s="155" t="s">
        <v>167</v>
      </c>
      <c r="B77" s="244">
        <v>0</v>
      </c>
      <c r="C77" s="80">
        <v>415</v>
      </c>
      <c r="D77" s="45">
        <v>375</v>
      </c>
      <c r="E77" s="99">
        <v>563</v>
      </c>
      <c r="F77" s="45"/>
      <c r="G77" s="60">
        <v>40</v>
      </c>
      <c r="H77" s="60"/>
      <c r="I77" s="60" t="s">
        <v>399</v>
      </c>
      <c r="J77" s="45">
        <v>1</v>
      </c>
      <c r="K77" s="53">
        <v>650</v>
      </c>
      <c r="L77" s="19">
        <f t="shared" si="7"/>
        <v>0</v>
      </c>
      <c r="M77" s="19">
        <f t="shared" si="5"/>
        <v>0</v>
      </c>
      <c r="N77" s="19">
        <f t="shared" si="6"/>
        <v>0</v>
      </c>
      <c r="O77" s="19">
        <f t="shared" si="8"/>
        <v>0</v>
      </c>
      <c r="P77" s="48"/>
      <c r="Q77" s="26"/>
      <c r="T77" s="547"/>
    </row>
    <row r="78" spans="1:20" ht="15.75">
      <c r="A78" s="155" t="s">
        <v>168</v>
      </c>
      <c r="B78" s="244">
        <v>0</v>
      </c>
      <c r="C78" s="80">
        <v>400</v>
      </c>
      <c r="D78" s="45">
        <v>360</v>
      </c>
      <c r="E78" s="99">
        <v>540</v>
      </c>
      <c r="F78" s="45"/>
      <c r="G78" s="60">
        <v>40</v>
      </c>
      <c r="H78" s="60"/>
      <c r="I78" s="60" t="s">
        <v>397</v>
      </c>
      <c r="J78" s="45"/>
      <c r="K78" s="53">
        <v>650</v>
      </c>
      <c r="L78" s="19">
        <f t="shared" si="7"/>
        <v>0</v>
      </c>
      <c r="M78" s="19">
        <f t="shared" si="5"/>
        <v>0</v>
      </c>
      <c r="N78" s="19">
        <f t="shared" si="6"/>
        <v>0</v>
      </c>
      <c r="O78" s="19">
        <f t="shared" si="8"/>
        <v>0</v>
      </c>
      <c r="P78" s="48" t="s">
        <v>88</v>
      </c>
      <c r="Q78" s="26"/>
      <c r="T78" s="547"/>
    </row>
    <row r="79" spans="1:20" ht="15.75">
      <c r="A79" s="155" t="s">
        <v>169</v>
      </c>
      <c r="B79" s="244">
        <v>0</v>
      </c>
      <c r="C79" s="80">
        <v>620</v>
      </c>
      <c r="D79" s="45">
        <v>300</v>
      </c>
      <c r="E79" s="99">
        <v>450</v>
      </c>
      <c r="F79" s="45"/>
      <c r="G79" s="60">
        <v>40</v>
      </c>
      <c r="H79" s="60"/>
      <c r="I79" s="60" t="s">
        <v>399</v>
      </c>
      <c r="J79" s="45"/>
      <c r="K79" s="53">
        <v>650</v>
      </c>
      <c r="L79" s="19">
        <f t="shared" si="7"/>
        <v>0</v>
      </c>
      <c r="M79" s="19">
        <f t="shared" si="5"/>
        <v>0</v>
      </c>
      <c r="N79" s="19">
        <f t="shared" si="6"/>
        <v>0</v>
      </c>
      <c r="O79" s="19">
        <f t="shared" si="8"/>
        <v>0</v>
      </c>
      <c r="P79" s="48"/>
      <c r="Q79" s="26"/>
      <c r="T79" s="547"/>
    </row>
    <row r="80" spans="1:20" ht="15.75">
      <c r="A80" s="155" t="s">
        <v>170</v>
      </c>
      <c r="B80" s="244">
        <v>0</v>
      </c>
      <c r="C80" s="80">
        <v>100</v>
      </c>
      <c r="D80" s="45">
        <v>400</v>
      </c>
      <c r="E80" s="99">
        <v>900</v>
      </c>
      <c r="F80" s="45"/>
      <c r="G80" s="60">
        <v>40</v>
      </c>
      <c r="H80" s="60"/>
      <c r="I80" s="60" t="s">
        <v>399</v>
      </c>
      <c r="J80" s="45"/>
      <c r="K80" s="53">
        <v>650</v>
      </c>
      <c r="L80" s="19">
        <f t="shared" si="7"/>
        <v>0</v>
      </c>
      <c r="M80" s="19">
        <f t="shared" si="5"/>
        <v>0</v>
      </c>
      <c r="N80" s="19">
        <f t="shared" si="6"/>
        <v>0</v>
      </c>
      <c r="O80" s="19">
        <f t="shared" si="8"/>
        <v>0</v>
      </c>
      <c r="P80" s="48"/>
      <c r="Q80" s="26"/>
      <c r="T80" s="547"/>
    </row>
    <row r="81" spans="1:20" ht="15.75">
      <c r="A81" s="155" t="s">
        <v>171</v>
      </c>
      <c r="B81" s="244">
        <v>0</v>
      </c>
      <c r="C81" s="80">
        <v>760</v>
      </c>
      <c r="D81" s="45">
        <v>100</v>
      </c>
      <c r="E81" s="99">
        <v>500</v>
      </c>
      <c r="F81" s="45"/>
      <c r="G81" s="60">
        <v>40</v>
      </c>
      <c r="H81" s="60"/>
      <c r="I81" s="60" t="s">
        <v>399</v>
      </c>
      <c r="J81" s="45"/>
      <c r="K81" s="53">
        <v>650</v>
      </c>
      <c r="L81" s="19">
        <f t="shared" si="7"/>
        <v>0</v>
      </c>
      <c r="M81" s="19">
        <f t="shared" si="5"/>
        <v>0</v>
      </c>
      <c r="N81" s="19">
        <f t="shared" si="6"/>
        <v>0</v>
      </c>
      <c r="O81" s="19">
        <f t="shared" si="8"/>
        <v>0</v>
      </c>
      <c r="P81" s="48"/>
      <c r="Q81" s="26"/>
      <c r="S81" s="547"/>
      <c r="T81" s="547"/>
    </row>
    <row r="82" spans="1:20" ht="15.75">
      <c r="A82" s="155" t="s">
        <v>172</v>
      </c>
      <c r="B82" s="244">
        <v>0</v>
      </c>
      <c r="C82" s="80">
        <v>410</v>
      </c>
      <c r="D82" s="45">
        <v>375</v>
      </c>
      <c r="E82" s="99">
        <v>563</v>
      </c>
      <c r="F82" s="45"/>
      <c r="G82" s="60">
        <v>40</v>
      </c>
      <c r="H82" s="60"/>
      <c r="I82" s="60" t="s">
        <v>399</v>
      </c>
      <c r="J82" s="45"/>
      <c r="K82" s="53">
        <v>650</v>
      </c>
      <c r="L82" s="19">
        <f t="shared" si="7"/>
        <v>0</v>
      </c>
      <c r="M82" s="19">
        <f t="shared" si="5"/>
        <v>0</v>
      </c>
      <c r="N82" s="19">
        <f t="shared" si="6"/>
        <v>0</v>
      </c>
      <c r="O82" s="19">
        <f t="shared" si="8"/>
        <v>0</v>
      </c>
      <c r="P82" s="48"/>
      <c r="Q82" s="26"/>
      <c r="T82" s="547"/>
    </row>
    <row r="83" spans="1:20" ht="15.75">
      <c r="A83" s="157" t="s">
        <v>173</v>
      </c>
      <c r="B83" s="244">
        <v>0</v>
      </c>
      <c r="C83" s="80">
        <v>730</v>
      </c>
      <c r="D83" s="45">
        <v>410</v>
      </c>
      <c r="E83" s="99">
        <v>765</v>
      </c>
      <c r="F83" s="45"/>
      <c r="G83" s="60">
        <v>40</v>
      </c>
      <c r="H83" s="60"/>
      <c r="I83" s="60" t="s">
        <v>399</v>
      </c>
      <c r="J83" s="45"/>
      <c r="K83" s="53">
        <v>650</v>
      </c>
      <c r="L83" s="19">
        <f t="shared" si="7"/>
        <v>0</v>
      </c>
      <c r="M83" s="19">
        <f t="shared" si="5"/>
        <v>0</v>
      </c>
      <c r="N83" s="19">
        <f t="shared" si="6"/>
        <v>0</v>
      </c>
      <c r="O83" s="19">
        <f t="shared" si="8"/>
        <v>0</v>
      </c>
      <c r="P83" s="48"/>
      <c r="Q83" s="26"/>
      <c r="T83" s="547"/>
    </row>
    <row r="84" spans="1:20" ht="15.75">
      <c r="A84" s="157" t="s">
        <v>174</v>
      </c>
      <c r="B84" s="244">
        <v>0</v>
      </c>
      <c r="C84" s="80">
        <v>20</v>
      </c>
      <c r="D84" s="45">
        <v>750</v>
      </c>
      <c r="E84" s="99">
        <v>750</v>
      </c>
      <c r="F84" s="45"/>
      <c r="G84" s="60">
        <v>40</v>
      </c>
      <c r="H84" s="60"/>
      <c r="I84" s="60" t="s">
        <v>397</v>
      </c>
      <c r="J84" s="45"/>
      <c r="K84" s="53">
        <v>650</v>
      </c>
      <c r="L84" s="19">
        <f t="shared" si="7"/>
        <v>0</v>
      </c>
      <c r="M84" s="19">
        <f t="shared" si="5"/>
        <v>0</v>
      </c>
      <c r="N84" s="19">
        <f t="shared" si="6"/>
        <v>0</v>
      </c>
      <c r="O84" s="19">
        <f t="shared" si="8"/>
        <v>0</v>
      </c>
      <c r="P84" s="48" t="s">
        <v>608</v>
      </c>
      <c r="Q84" s="26"/>
      <c r="T84" s="547"/>
    </row>
    <row r="85" spans="1:20" ht="15.75">
      <c r="A85" s="157" t="s">
        <v>175</v>
      </c>
      <c r="B85" s="244">
        <v>0</v>
      </c>
      <c r="C85" s="80">
        <v>580</v>
      </c>
      <c r="D85" s="45">
        <v>525</v>
      </c>
      <c r="E85" s="99">
        <v>788</v>
      </c>
      <c r="F85" s="45"/>
      <c r="G85" s="60">
        <v>40</v>
      </c>
      <c r="H85" s="60"/>
      <c r="I85" s="60" t="s">
        <v>399</v>
      </c>
      <c r="J85" s="45"/>
      <c r="K85" s="53">
        <v>650</v>
      </c>
      <c r="L85" s="19">
        <f t="shared" si="7"/>
        <v>0</v>
      </c>
      <c r="M85" s="19">
        <f t="shared" si="5"/>
        <v>0</v>
      </c>
      <c r="N85" s="19">
        <f t="shared" si="6"/>
        <v>0</v>
      </c>
      <c r="O85" s="19">
        <f t="shared" si="8"/>
        <v>0</v>
      </c>
      <c r="P85" s="48" t="s">
        <v>88</v>
      </c>
      <c r="Q85" s="26"/>
      <c r="T85" s="547"/>
    </row>
    <row r="86" spans="1:20" ht="15.75">
      <c r="A86" s="157" t="s">
        <v>176</v>
      </c>
      <c r="B86" s="244">
        <v>0</v>
      </c>
      <c r="C86" s="80">
        <v>605</v>
      </c>
      <c r="D86" s="45">
        <v>480</v>
      </c>
      <c r="E86" s="99">
        <v>520</v>
      </c>
      <c r="F86" s="45"/>
      <c r="G86" s="60">
        <v>40</v>
      </c>
      <c r="H86" s="60"/>
      <c r="I86" s="60" t="s">
        <v>399</v>
      </c>
      <c r="J86" s="45"/>
      <c r="K86" s="53">
        <v>650</v>
      </c>
      <c r="L86" s="19">
        <f t="shared" si="7"/>
        <v>0</v>
      </c>
      <c r="M86" s="19">
        <f t="shared" si="5"/>
        <v>0</v>
      </c>
      <c r="N86" s="19">
        <f t="shared" si="6"/>
        <v>0</v>
      </c>
      <c r="O86" s="19">
        <f t="shared" si="8"/>
        <v>0</v>
      </c>
      <c r="P86" s="48"/>
      <c r="Q86" s="26"/>
      <c r="T86" s="547"/>
    </row>
    <row r="87" spans="1:20" ht="15.75">
      <c r="A87" s="158" t="s">
        <v>177</v>
      </c>
      <c r="B87" s="244">
        <v>0</v>
      </c>
      <c r="C87" s="62">
        <v>1100</v>
      </c>
      <c r="D87" s="45">
        <v>400</v>
      </c>
      <c r="E87" s="101">
        <v>1250</v>
      </c>
      <c r="F87" s="60"/>
      <c r="G87" s="60">
        <v>40</v>
      </c>
      <c r="H87" s="60"/>
      <c r="I87" s="60" t="s">
        <v>399</v>
      </c>
      <c r="J87" s="60"/>
      <c r="K87" s="53">
        <v>650</v>
      </c>
      <c r="L87" s="19">
        <f t="shared" si="7"/>
        <v>0</v>
      </c>
      <c r="M87" s="19">
        <f t="shared" si="5"/>
        <v>0</v>
      </c>
      <c r="N87" s="19">
        <f t="shared" si="6"/>
        <v>0</v>
      </c>
      <c r="O87" s="19">
        <f t="shared" si="8"/>
        <v>0</v>
      </c>
      <c r="P87" s="48" t="s">
        <v>88</v>
      </c>
      <c r="Q87" s="26"/>
      <c r="T87" s="547"/>
    </row>
    <row r="88" spans="1:20" ht="15.75">
      <c r="A88" s="158" t="s">
        <v>178</v>
      </c>
      <c r="B88" s="244">
        <v>0</v>
      </c>
      <c r="C88" s="62">
        <v>1530</v>
      </c>
      <c r="D88" s="45">
        <v>300</v>
      </c>
      <c r="E88" s="99">
        <v>800</v>
      </c>
      <c r="F88" s="45"/>
      <c r="G88" s="60">
        <v>40</v>
      </c>
      <c r="H88" s="60"/>
      <c r="I88" s="60" t="s">
        <v>397</v>
      </c>
      <c r="J88" s="45"/>
      <c r="K88" s="53">
        <v>650</v>
      </c>
      <c r="L88" s="19">
        <f t="shared" si="7"/>
        <v>0</v>
      </c>
      <c r="M88" s="19">
        <f t="shared" si="5"/>
        <v>0</v>
      </c>
      <c r="N88" s="19">
        <f t="shared" si="6"/>
        <v>0</v>
      </c>
      <c r="O88" s="19">
        <f t="shared" si="8"/>
        <v>0</v>
      </c>
      <c r="P88" s="48"/>
      <c r="Q88" s="26"/>
      <c r="T88" s="547"/>
    </row>
    <row r="89" spans="1:20" ht="16.5" thickBot="1">
      <c r="A89" s="159" t="s">
        <v>179</v>
      </c>
      <c r="B89" s="245">
        <v>0</v>
      </c>
      <c r="C89" s="63">
        <v>1350</v>
      </c>
      <c r="D89" s="59">
        <v>1100</v>
      </c>
      <c r="E89" s="102">
        <v>3250</v>
      </c>
      <c r="F89" s="59"/>
      <c r="G89" s="59">
        <v>40</v>
      </c>
      <c r="H89" s="59"/>
      <c r="I89" s="59" t="s">
        <v>399</v>
      </c>
      <c r="J89" s="59"/>
      <c r="K89" s="54">
        <v>650</v>
      </c>
      <c r="L89" s="21">
        <f t="shared" si="7"/>
        <v>0</v>
      </c>
      <c r="M89" s="21">
        <f t="shared" si="5"/>
        <v>0</v>
      </c>
      <c r="N89" s="21">
        <f t="shared" si="6"/>
        <v>0</v>
      </c>
      <c r="O89" s="21">
        <f t="shared" si="8"/>
        <v>0</v>
      </c>
      <c r="P89" s="55" t="s">
        <v>91</v>
      </c>
      <c r="Q89" s="56"/>
      <c r="T89" s="547"/>
    </row>
    <row r="90" spans="1:20" ht="15.75">
      <c r="A90" s="154" t="s">
        <v>899</v>
      </c>
      <c r="B90" s="243">
        <v>0</v>
      </c>
      <c r="C90" s="39">
        <v>100</v>
      </c>
      <c r="D90" s="40">
        <v>325</v>
      </c>
      <c r="E90" s="52">
        <v>685</v>
      </c>
      <c r="F90" s="39">
        <v>30</v>
      </c>
      <c r="G90" s="70">
        <v>30</v>
      </c>
      <c r="H90" s="70">
        <v>40</v>
      </c>
      <c r="I90" s="70" t="s">
        <v>398</v>
      </c>
      <c r="J90" s="40">
        <v>40</v>
      </c>
      <c r="K90" s="52">
        <v>550</v>
      </c>
      <c r="L90" s="42">
        <f t="shared" si="7"/>
        <v>0</v>
      </c>
      <c r="M90" s="42">
        <f t="shared" si="5"/>
        <v>0</v>
      </c>
      <c r="N90" s="42">
        <f t="shared" si="6"/>
        <v>0</v>
      </c>
      <c r="O90" s="42">
        <f t="shared" si="8"/>
        <v>0</v>
      </c>
      <c r="P90" s="38"/>
      <c r="Q90" s="44" t="s">
        <v>524</v>
      </c>
      <c r="T90" s="547"/>
    </row>
    <row r="91" spans="1:20" ht="15.75">
      <c r="A91" s="155" t="s">
        <v>180</v>
      </c>
      <c r="B91" s="244">
        <v>0</v>
      </c>
      <c r="C91" s="80">
        <v>275</v>
      </c>
      <c r="D91" s="45">
        <v>358</v>
      </c>
      <c r="E91" s="99">
        <v>754</v>
      </c>
      <c r="F91" s="80">
        <v>20</v>
      </c>
      <c r="G91" s="60">
        <v>50</v>
      </c>
      <c r="H91" s="60"/>
      <c r="I91" s="60" t="s">
        <v>400</v>
      </c>
      <c r="J91" s="45">
        <v>40</v>
      </c>
      <c r="K91" s="53">
        <v>550</v>
      </c>
      <c r="L91" s="19">
        <f t="shared" si="7"/>
        <v>0</v>
      </c>
      <c r="M91" s="19">
        <f t="shared" si="5"/>
        <v>0</v>
      </c>
      <c r="N91" s="19">
        <f t="shared" si="6"/>
        <v>0</v>
      </c>
      <c r="O91" s="19">
        <f t="shared" si="8"/>
        <v>0</v>
      </c>
      <c r="P91" s="48" t="s">
        <v>88</v>
      </c>
      <c r="Q91" s="47" t="s">
        <v>181</v>
      </c>
      <c r="T91" s="547"/>
    </row>
    <row r="92" spans="1:20" ht="15.75">
      <c r="A92" s="155" t="s">
        <v>182</v>
      </c>
      <c r="B92" s="244">
        <v>0</v>
      </c>
      <c r="C92" s="80">
        <v>338</v>
      </c>
      <c r="D92" s="45">
        <v>439</v>
      </c>
      <c r="E92" s="99">
        <v>725</v>
      </c>
      <c r="F92" s="80"/>
      <c r="G92" s="60">
        <v>50</v>
      </c>
      <c r="H92" s="60"/>
      <c r="I92" s="60" t="s">
        <v>400</v>
      </c>
      <c r="J92" s="45"/>
      <c r="K92" s="53">
        <v>550</v>
      </c>
      <c r="L92" s="19">
        <f t="shared" si="7"/>
        <v>0</v>
      </c>
      <c r="M92" s="19">
        <f t="shared" si="5"/>
        <v>0</v>
      </c>
      <c r="N92" s="19">
        <f t="shared" si="6"/>
        <v>0</v>
      </c>
      <c r="O92" s="19">
        <f t="shared" si="8"/>
        <v>0</v>
      </c>
      <c r="P92" s="48"/>
      <c r="Q92" s="26"/>
      <c r="T92" s="547"/>
    </row>
    <row r="93" spans="1:20" ht="15.75">
      <c r="A93" s="155" t="s">
        <v>183</v>
      </c>
      <c r="B93" s="244">
        <v>0</v>
      </c>
      <c r="C93" s="80">
        <v>150</v>
      </c>
      <c r="D93" s="45">
        <v>500</v>
      </c>
      <c r="E93" s="99">
        <v>800</v>
      </c>
      <c r="F93" s="80"/>
      <c r="G93" s="60">
        <v>50</v>
      </c>
      <c r="H93" s="60"/>
      <c r="I93" s="60" t="s">
        <v>400</v>
      </c>
      <c r="J93" s="45"/>
      <c r="K93" s="53">
        <v>550</v>
      </c>
      <c r="L93" s="19">
        <f t="shared" si="7"/>
        <v>0</v>
      </c>
      <c r="M93" s="19">
        <f t="shared" si="5"/>
        <v>0</v>
      </c>
      <c r="N93" s="19">
        <f t="shared" si="6"/>
        <v>0</v>
      </c>
      <c r="O93" s="19">
        <f t="shared" si="8"/>
        <v>0</v>
      </c>
      <c r="P93" s="48"/>
      <c r="Q93" s="26"/>
      <c r="T93" s="547"/>
    </row>
    <row r="94" spans="1:20" ht="15.75">
      <c r="A94" s="155" t="s">
        <v>184</v>
      </c>
      <c r="B94" s="244">
        <v>0</v>
      </c>
      <c r="C94" s="80">
        <v>250</v>
      </c>
      <c r="D94" s="45">
        <v>600</v>
      </c>
      <c r="E94" s="99">
        <v>685</v>
      </c>
      <c r="F94" s="80"/>
      <c r="G94" s="60">
        <v>50</v>
      </c>
      <c r="H94" s="60"/>
      <c r="I94" s="60" t="s">
        <v>398</v>
      </c>
      <c r="J94" s="45"/>
      <c r="K94" s="53">
        <v>550</v>
      </c>
      <c r="L94" s="19">
        <f t="shared" si="7"/>
        <v>0</v>
      </c>
      <c r="M94" s="19">
        <f t="shared" si="5"/>
        <v>0</v>
      </c>
      <c r="N94" s="19">
        <f t="shared" si="6"/>
        <v>0</v>
      </c>
      <c r="O94" s="19">
        <f t="shared" si="8"/>
        <v>0</v>
      </c>
      <c r="P94" s="48"/>
      <c r="Q94" s="26"/>
      <c r="T94" s="547"/>
    </row>
    <row r="95" spans="1:20" ht="15.75">
      <c r="A95" s="155" t="s">
        <v>185</v>
      </c>
      <c r="B95" s="244">
        <v>0</v>
      </c>
      <c r="C95" s="80">
        <v>313</v>
      </c>
      <c r="D95" s="45">
        <v>406</v>
      </c>
      <c r="E95" s="99">
        <v>856</v>
      </c>
      <c r="F95" s="80"/>
      <c r="G95" s="60">
        <v>50</v>
      </c>
      <c r="H95" s="60"/>
      <c r="I95" s="60" t="s">
        <v>398</v>
      </c>
      <c r="J95" s="45"/>
      <c r="K95" s="53">
        <v>550</v>
      </c>
      <c r="L95" s="19">
        <f t="shared" si="7"/>
        <v>0</v>
      </c>
      <c r="M95" s="19">
        <f t="shared" si="5"/>
        <v>0</v>
      </c>
      <c r="N95" s="19">
        <f t="shared" si="6"/>
        <v>0</v>
      </c>
      <c r="O95" s="19">
        <f t="shared" si="8"/>
        <v>0</v>
      </c>
      <c r="P95" s="48"/>
      <c r="Q95" s="26"/>
      <c r="T95" s="547"/>
    </row>
    <row r="96" spans="1:20">
      <c r="A96" s="155" t="s">
        <v>186</v>
      </c>
      <c r="B96" s="244">
        <v>0</v>
      </c>
      <c r="C96" s="80">
        <v>250</v>
      </c>
      <c r="D96" s="45">
        <v>325</v>
      </c>
      <c r="E96" s="99">
        <v>685</v>
      </c>
      <c r="F96" s="80"/>
      <c r="G96" s="60">
        <v>50</v>
      </c>
      <c r="H96" s="60"/>
      <c r="I96" s="60" t="s">
        <v>398</v>
      </c>
      <c r="J96" s="45"/>
      <c r="K96" s="53">
        <v>550</v>
      </c>
      <c r="L96" s="19">
        <f t="shared" si="7"/>
        <v>0</v>
      </c>
      <c r="M96" s="19">
        <f t="shared" si="5"/>
        <v>0</v>
      </c>
      <c r="N96" s="19">
        <f t="shared" si="6"/>
        <v>0</v>
      </c>
      <c r="O96" s="19">
        <f t="shared" si="8"/>
        <v>0</v>
      </c>
      <c r="P96" s="48"/>
      <c r="Q96" s="26"/>
    </row>
    <row r="97" spans="1:17">
      <c r="A97" s="157" t="s">
        <v>187</v>
      </c>
      <c r="B97" s="244">
        <v>0</v>
      </c>
      <c r="C97" s="80">
        <v>620</v>
      </c>
      <c r="D97" s="45">
        <v>400</v>
      </c>
      <c r="E97" s="101">
        <v>1100</v>
      </c>
      <c r="F97" s="62"/>
      <c r="G97" s="60">
        <v>50</v>
      </c>
      <c r="H97" s="60"/>
      <c r="I97" s="60" t="s">
        <v>400</v>
      </c>
      <c r="J97" s="60"/>
      <c r="K97" s="53">
        <v>550</v>
      </c>
      <c r="L97" s="19">
        <f t="shared" si="7"/>
        <v>0</v>
      </c>
      <c r="M97" s="19">
        <f t="shared" si="5"/>
        <v>0</v>
      </c>
      <c r="N97" s="19">
        <f t="shared" si="6"/>
        <v>0</v>
      </c>
      <c r="O97" s="19">
        <f t="shared" si="8"/>
        <v>0</v>
      </c>
      <c r="P97" s="48"/>
      <c r="Q97" s="26"/>
    </row>
    <row r="98" spans="1:17">
      <c r="A98" s="157" t="s">
        <v>188</v>
      </c>
      <c r="B98" s="244">
        <v>0</v>
      </c>
      <c r="C98" s="80">
        <v>438</v>
      </c>
      <c r="D98" s="45">
        <v>569</v>
      </c>
      <c r="E98" s="101">
        <v>1199</v>
      </c>
      <c r="F98" s="62"/>
      <c r="G98" s="60">
        <v>50</v>
      </c>
      <c r="H98" s="60"/>
      <c r="I98" s="60" t="s">
        <v>402</v>
      </c>
      <c r="J98" s="60"/>
      <c r="K98" s="53">
        <v>550</v>
      </c>
      <c r="L98" s="19">
        <f t="shared" si="7"/>
        <v>0</v>
      </c>
      <c r="M98" s="19">
        <f t="shared" si="5"/>
        <v>0</v>
      </c>
      <c r="N98" s="19">
        <f t="shared" si="6"/>
        <v>0</v>
      </c>
      <c r="O98" s="19">
        <f t="shared" si="8"/>
        <v>0</v>
      </c>
      <c r="P98" s="48"/>
      <c r="Q98" s="26"/>
    </row>
    <row r="99" spans="1:17">
      <c r="A99" s="157" t="s">
        <v>189</v>
      </c>
      <c r="B99" s="244">
        <v>0</v>
      </c>
      <c r="C99" s="80">
        <v>800</v>
      </c>
      <c r="D99" s="45">
        <v>325</v>
      </c>
      <c r="E99" s="99">
        <v>685</v>
      </c>
      <c r="F99" s="80"/>
      <c r="G99" s="60">
        <v>50</v>
      </c>
      <c r="H99" s="60"/>
      <c r="I99" s="60" t="s">
        <v>400</v>
      </c>
      <c r="J99" s="45"/>
      <c r="K99" s="53">
        <v>550</v>
      </c>
      <c r="L99" s="19">
        <f t="shared" si="7"/>
        <v>0</v>
      </c>
      <c r="M99" s="19">
        <f t="shared" si="5"/>
        <v>0</v>
      </c>
      <c r="N99" s="19">
        <f t="shared" si="6"/>
        <v>0</v>
      </c>
      <c r="O99" s="19">
        <f t="shared" si="8"/>
        <v>0</v>
      </c>
      <c r="P99" s="48"/>
      <c r="Q99" s="26"/>
    </row>
    <row r="100" spans="1:17">
      <c r="A100" s="157" t="s">
        <v>190</v>
      </c>
      <c r="B100" s="244">
        <v>0</v>
      </c>
      <c r="C100" s="80">
        <v>750</v>
      </c>
      <c r="D100" s="45">
        <v>275</v>
      </c>
      <c r="E100" s="99">
        <v>950</v>
      </c>
      <c r="F100" s="80"/>
      <c r="G100" s="60">
        <v>50</v>
      </c>
      <c r="H100" s="60"/>
      <c r="I100" s="60" t="s">
        <v>400</v>
      </c>
      <c r="J100" s="45"/>
      <c r="K100" s="53">
        <v>550</v>
      </c>
      <c r="L100" s="19">
        <f t="shared" si="7"/>
        <v>0</v>
      </c>
      <c r="M100" s="19">
        <f t="shared" si="5"/>
        <v>0</v>
      </c>
      <c r="N100" s="19">
        <f t="shared" si="6"/>
        <v>0</v>
      </c>
      <c r="O100" s="19">
        <f t="shared" si="8"/>
        <v>0</v>
      </c>
      <c r="P100" s="48"/>
      <c r="Q100" s="26"/>
    </row>
    <row r="101" spans="1:17">
      <c r="A101" s="158" t="s">
        <v>191</v>
      </c>
      <c r="B101" s="244">
        <v>0</v>
      </c>
      <c r="C101" s="80">
        <v>625</v>
      </c>
      <c r="D101" s="45">
        <v>813</v>
      </c>
      <c r="E101" s="101">
        <v>1713</v>
      </c>
      <c r="F101" s="62"/>
      <c r="G101" s="60">
        <v>50</v>
      </c>
      <c r="H101" s="60"/>
      <c r="I101" s="60" t="s">
        <v>400</v>
      </c>
      <c r="J101" s="60"/>
      <c r="K101" s="53">
        <v>550</v>
      </c>
      <c r="L101" s="19">
        <f t="shared" si="7"/>
        <v>0</v>
      </c>
      <c r="M101" s="19">
        <f t="shared" si="5"/>
        <v>0</v>
      </c>
      <c r="N101" s="19">
        <f t="shared" si="6"/>
        <v>0</v>
      </c>
      <c r="O101" s="19">
        <f t="shared" si="8"/>
        <v>0</v>
      </c>
      <c r="P101" s="48"/>
      <c r="Q101" s="26"/>
    </row>
    <row r="102" spans="1:17">
      <c r="A102" s="158" t="s">
        <v>192</v>
      </c>
      <c r="B102" s="244">
        <v>0</v>
      </c>
      <c r="C102" s="80">
        <v>700</v>
      </c>
      <c r="D102" s="45">
        <v>650</v>
      </c>
      <c r="E102" s="101">
        <v>2070</v>
      </c>
      <c r="F102" s="62"/>
      <c r="G102" s="60">
        <v>50</v>
      </c>
      <c r="H102" s="60"/>
      <c r="I102" s="60" t="s">
        <v>398</v>
      </c>
      <c r="J102" s="60"/>
      <c r="K102" s="53">
        <v>550</v>
      </c>
      <c r="L102" s="19">
        <f t="shared" si="7"/>
        <v>0</v>
      </c>
      <c r="M102" s="19">
        <f t="shared" si="5"/>
        <v>0</v>
      </c>
      <c r="N102" s="19">
        <f t="shared" si="6"/>
        <v>0</v>
      </c>
      <c r="O102" s="19">
        <f t="shared" si="8"/>
        <v>0</v>
      </c>
      <c r="P102" s="48"/>
      <c r="Q102" s="26"/>
    </row>
    <row r="103" spans="1:17" ht="15.75" thickBot="1">
      <c r="A103" s="159" t="s">
        <v>193</v>
      </c>
      <c r="B103" s="245">
        <v>0</v>
      </c>
      <c r="C103" s="63">
        <v>1250</v>
      </c>
      <c r="D103" s="59">
        <v>1625</v>
      </c>
      <c r="E103" s="102">
        <v>3425</v>
      </c>
      <c r="F103" s="63"/>
      <c r="G103" s="59">
        <v>50</v>
      </c>
      <c r="H103" s="59"/>
      <c r="I103" s="59" t="s">
        <v>403</v>
      </c>
      <c r="J103" s="59"/>
      <c r="K103" s="54">
        <v>550</v>
      </c>
      <c r="L103" s="21">
        <f t="shared" si="7"/>
        <v>0</v>
      </c>
      <c r="M103" s="21">
        <f t="shared" si="5"/>
        <v>0</v>
      </c>
      <c r="N103" s="21">
        <f t="shared" si="6"/>
        <v>0</v>
      </c>
      <c r="O103" s="21">
        <f t="shared" si="8"/>
        <v>0</v>
      </c>
      <c r="P103" s="55" t="s">
        <v>91</v>
      </c>
      <c r="Q103" s="56"/>
    </row>
    <row r="104" spans="1:17">
      <c r="A104" s="154" t="s">
        <v>900</v>
      </c>
      <c r="B104" s="243">
        <v>0</v>
      </c>
      <c r="C104" s="39">
        <v>125</v>
      </c>
      <c r="D104" s="40">
        <v>210</v>
      </c>
      <c r="E104" s="52">
        <v>150</v>
      </c>
      <c r="F104" s="40"/>
      <c r="G104" s="70">
        <v>10</v>
      </c>
      <c r="H104" s="70">
        <v>30</v>
      </c>
      <c r="I104" s="70" t="s">
        <v>400</v>
      </c>
      <c r="J104" s="40"/>
      <c r="K104" s="52">
        <v>270</v>
      </c>
      <c r="L104" s="42">
        <f t="shared" si="4"/>
        <v>0</v>
      </c>
      <c r="M104" s="42">
        <f t="shared" si="5"/>
        <v>0</v>
      </c>
      <c r="N104" s="42">
        <f t="shared" si="6"/>
        <v>0</v>
      </c>
      <c r="O104" s="42">
        <f t="shared" si="0"/>
        <v>0</v>
      </c>
      <c r="P104" s="38"/>
      <c r="Q104" s="44"/>
    </row>
    <row r="105" spans="1:17">
      <c r="A105" s="155" t="s">
        <v>154</v>
      </c>
      <c r="B105" s="244">
        <v>0</v>
      </c>
      <c r="C105" s="80">
        <v>180</v>
      </c>
      <c r="D105" s="45">
        <v>210</v>
      </c>
      <c r="E105" s="99">
        <v>230</v>
      </c>
      <c r="F105" s="45"/>
      <c r="G105" s="60">
        <v>30</v>
      </c>
      <c r="H105" s="60"/>
      <c r="I105" s="60" t="s">
        <v>396</v>
      </c>
      <c r="J105" s="45">
        <v>1</v>
      </c>
      <c r="K105" s="53">
        <v>270</v>
      </c>
      <c r="L105" s="19">
        <f t="shared" si="4"/>
        <v>0</v>
      </c>
      <c r="M105" s="19">
        <f t="shared" si="5"/>
        <v>0</v>
      </c>
      <c r="N105" s="19">
        <f t="shared" si="6"/>
        <v>0</v>
      </c>
      <c r="O105" s="19">
        <f t="shared" si="0"/>
        <v>0</v>
      </c>
      <c r="P105" s="48"/>
      <c r="Q105" s="26"/>
    </row>
    <row r="106" spans="1:17">
      <c r="A106" s="155" t="s">
        <v>155</v>
      </c>
      <c r="B106" s="244">
        <v>0</v>
      </c>
      <c r="C106" s="80">
        <v>250</v>
      </c>
      <c r="D106" s="45">
        <v>210</v>
      </c>
      <c r="E106" s="99">
        <v>150</v>
      </c>
      <c r="F106" s="45"/>
      <c r="G106" s="60">
        <v>30</v>
      </c>
      <c r="H106" s="60"/>
      <c r="I106" s="60" t="s">
        <v>396</v>
      </c>
      <c r="J106" s="45"/>
      <c r="K106" s="53">
        <v>270</v>
      </c>
      <c r="L106" s="19">
        <f t="shared" si="4"/>
        <v>0</v>
      </c>
      <c r="M106" s="19">
        <f t="shared" si="5"/>
        <v>0</v>
      </c>
      <c r="N106" s="19">
        <f t="shared" si="6"/>
        <v>0</v>
      </c>
      <c r="O106" s="19">
        <f t="shared" si="0"/>
        <v>0</v>
      </c>
      <c r="P106" s="48"/>
      <c r="Q106" s="26"/>
    </row>
    <row r="107" spans="1:17">
      <c r="A107" s="155" t="s">
        <v>156</v>
      </c>
      <c r="B107" s="244">
        <v>0</v>
      </c>
      <c r="C107" s="80">
        <v>100</v>
      </c>
      <c r="D107" s="45">
        <v>260</v>
      </c>
      <c r="E107" s="99">
        <v>255</v>
      </c>
      <c r="F107" s="45"/>
      <c r="G107" s="60">
        <v>30</v>
      </c>
      <c r="H107" s="60"/>
      <c r="I107" s="60" t="s">
        <v>396</v>
      </c>
      <c r="J107" s="45"/>
      <c r="K107" s="53">
        <v>270</v>
      </c>
      <c r="L107" s="19">
        <f t="shared" si="4"/>
        <v>0</v>
      </c>
      <c r="M107" s="19">
        <f t="shared" si="5"/>
        <v>0</v>
      </c>
      <c r="N107" s="19">
        <f t="shared" si="6"/>
        <v>0</v>
      </c>
      <c r="O107" s="19">
        <f t="shared" si="0"/>
        <v>0</v>
      </c>
      <c r="P107" s="48"/>
      <c r="Q107" s="26"/>
    </row>
    <row r="108" spans="1:17">
      <c r="A108" s="155" t="s">
        <v>157</v>
      </c>
      <c r="B108" s="244">
        <v>0</v>
      </c>
      <c r="C108" s="80">
        <v>156</v>
      </c>
      <c r="D108" s="45">
        <v>233</v>
      </c>
      <c r="E108" s="99">
        <v>208</v>
      </c>
      <c r="F108" s="45"/>
      <c r="G108" s="60">
        <v>30</v>
      </c>
      <c r="H108" s="60"/>
      <c r="I108" s="60" t="s">
        <v>396</v>
      </c>
      <c r="J108" s="45"/>
      <c r="K108" s="53">
        <v>270</v>
      </c>
      <c r="L108" s="19">
        <f t="shared" si="4"/>
        <v>0</v>
      </c>
      <c r="M108" s="19">
        <f t="shared" si="5"/>
        <v>0</v>
      </c>
      <c r="N108" s="19">
        <f t="shared" si="6"/>
        <v>0</v>
      </c>
      <c r="O108" s="19">
        <f t="shared" si="0"/>
        <v>0</v>
      </c>
      <c r="P108" s="48"/>
      <c r="Q108" s="26"/>
    </row>
    <row r="109" spans="1:17">
      <c r="A109" s="155" t="s">
        <v>158</v>
      </c>
      <c r="B109" s="244">
        <v>0</v>
      </c>
      <c r="C109" s="80">
        <v>156</v>
      </c>
      <c r="D109" s="45">
        <v>263</v>
      </c>
      <c r="E109" s="99">
        <v>188</v>
      </c>
      <c r="F109" s="45"/>
      <c r="G109" s="60">
        <v>30</v>
      </c>
      <c r="H109" s="60"/>
      <c r="I109" s="60" t="s">
        <v>396</v>
      </c>
      <c r="J109" s="45"/>
      <c r="K109" s="53">
        <v>270</v>
      </c>
      <c r="L109" s="19">
        <f t="shared" si="4"/>
        <v>0</v>
      </c>
      <c r="M109" s="19">
        <f t="shared" si="5"/>
        <v>0</v>
      </c>
      <c r="N109" s="19">
        <f t="shared" si="6"/>
        <v>0</v>
      </c>
      <c r="O109" s="19">
        <f t="shared" si="0"/>
        <v>0</v>
      </c>
      <c r="P109" s="48"/>
      <c r="Q109" s="26"/>
    </row>
    <row r="110" spans="1:17">
      <c r="A110" s="155" t="s">
        <v>159</v>
      </c>
      <c r="B110" s="244">
        <v>0</v>
      </c>
      <c r="C110" s="80">
        <v>163</v>
      </c>
      <c r="D110" s="45">
        <v>238</v>
      </c>
      <c r="E110" s="99">
        <v>195</v>
      </c>
      <c r="F110" s="45"/>
      <c r="G110" s="60">
        <v>30</v>
      </c>
      <c r="H110" s="60"/>
      <c r="I110" s="60" t="s">
        <v>396</v>
      </c>
      <c r="J110" s="45"/>
      <c r="K110" s="53">
        <v>270</v>
      </c>
      <c r="L110" s="19">
        <f t="shared" si="4"/>
        <v>0</v>
      </c>
      <c r="M110" s="19">
        <f t="shared" si="5"/>
        <v>0</v>
      </c>
      <c r="N110" s="19">
        <f t="shared" si="6"/>
        <v>0</v>
      </c>
      <c r="O110" s="19">
        <f t="shared" si="0"/>
        <v>0</v>
      </c>
      <c r="P110" s="48"/>
      <c r="Q110" s="26"/>
    </row>
    <row r="111" spans="1:17">
      <c r="A111" s="157" t="s">
        <v>160</v>
      </c>
      <c r="B111" s="244">
        <v>0</v>
      </c>
      <c r="C111" s="80">
        <v>100</v>
      </c>
      <c r="D111" s="45">
        <v>400</v>
      </c>
      <c r="E111" s="99">
        <v>400</v>
      </c>
      <c r="F111" s="45"/>
      <c r="G111" s="60">
        <v>30</v>
      </c>
      <c r="H111" s="60"/>
      <c r="I111" s="60" t="s">
        <v>396</v>
      </c>
      <c r="J111" s="45"/>
      <c r="K111" s="53">
        <v>270</v>
      </c>
      <c r="L111" s="19">
        <f t="shared" si="4"/>
        <v>0</v>
      </c>
      <c r="M111" s="19">
        <f t="shared" si="5"/>
        <v>0</v>
      </c>
      <c r="N111" s="19">
        <f t="shared" si="6"/>
        <v>0</v>
      </c>
      <c r="O111" s="19">
        <f t="shared" si="0"/>
        <v>0</v>
      </c>
      <c r="P111" s="48"/>
      <c r="Q111" s="26"/>
    </row>
    <row r="112" spans="1:17">
      <c r="A112" s="157" t="s">
        <v>161</v>
      </c>
      <c r="B112" s="244">
        <v>0</v>
      </c>
      <c r="C112" s="80">
        <v>340</v>
      </c>
      <c r="D112" s="45">
        <v>250</v>
      </c>
      <c r="E112" s="99">
        <v>160</v>
      </c>
      <c r="F112" s="45"/>
      <c r="G112" s="60">
        <v>30</v>
      </c>
      <c r="H112" s="60"/>
      <c r="I112" s="60" t="s">
        <v>396</v>
      </c>
      <c r="J112" s="45"/>
      <c r="K112" s="53">
        <v>270</v>
      </c>
      <c r="L112" s="19">
        <f t="shared" si="4"/>
        <v>0</v>
      </c>
      <c r="M112" s="19">
        <f t="shared" si="5"/>
        <v>0</v>
      </c>
      <c r="N112" s="19">
        <f t="shared" si="6"/>
        <v>0</v>
      </c>
      <c r="O112" s="19">
        <f t="shared" si="0"/>
        <v>0</v>
      </c>
      <c r="P112" s="48"/>
      <c r="Q112" s="26"/>
    </row>
    <row r="113" spans="1:17">
      <c r="A113" s="157" t="s">
        <v>162</v>
      </c>
      <c r="B113" s="244">
        <v>0</v>
      </c>
      <c r="C113" s="80">
        <v>375</v>
      </c>
      <c r="D113" s="45">
        <v>200</v>
      </c>
      <c r="E113" s="99">
        <v>200</v>
      </c>
      <c r="F113" s="45"/>
      <c r="G113" s="60">
        <v>30</v>
      </c>
      <c r="H113" s="60"/>
      <c r="I113" s="60" t="s">
        <v>398</v>
      </c>
      <c r="J113" s="45"/>
      <c r="K113" s="53">
        <v>270</v>
      </c>
      <c r="L113" s="19">
        <f t="shared" si="4"/>
        <v>0</v>
      </c>
      <c r="M113" s="19">
        <f t="shared" si="5"/>
        <v>0</v>
      </c>
      <c r="N113" s="19">
        <f t="shared" si="6"/>
        <v>0</v>
      </c>
      <c r="O113" s="19">
        <f t="shared" si="0"/>
        <v>0</v>
      </c>
      <c r="P113" s="48"/>
      <c r="Q113" s="26"/>
    </row>
    <row r="114" spans="1:17">
      <c r="A114" s="157" t="s">
        <v>163</v>
      </c>
      <c r="B114" s="244">
        <v>0</v>
      </c>
      <c r="C114" s="80">
        <v>350</v>
      </c>
      <c r="D114" s="45">
        <v>200</v>
      </c>
      <c r="E114" s="99">
        <v>225</v>
      </c>
      <c r="F114" s="45"/>
      <c r="G114" s="60">
        <v>30</v>
      </c>
      <c r="H114" s="60"/>
      <c r="I114" s="60" t="s">
        <v>396</v>
      </c>
      <c r="J114" s="45"/>
      <c r="K114" s="53">
        <v>270</v>
      </c>
      <c r="L114" s="19">
        <f t="shared" si="4"/>
        <v>0</v>
      </c>
      <c r="M114" s="19">
        <f t="shared" si="5"/>
        <v>0</v>
      </c>
      <c r="N114" s="19">
        <f t="shared" si="6"/>
        <v>0</v>
      </c>
      <c r="O114" s="19">
        <f t="shared" si="0"/>
        <v>0</v>
      </c>
      <c r="P114" s="48"/>
      <c r="Q114" s="26"/>
    </row>
    <row r="115" spans="1:17">
      <c r="A115" s="158" t="s">
        <v>164</v>
      </c>
      <c r="B115" s="244">
        <v>0</v>
      </c>
      <c r="C115" s="80">
        <v>413</v>
      </c>
      <c r="D115" s="45">
        <v>225</v>
      </c>
      <c r="E115" s="99">
        <v>475</v>
      </c>
      <c r="F115" s="45"/>
      <c r="G115" s="60">
        <v>30</v>
      </c>
      <c r="H115" s="60"/>
      <c r="I115" s="60" t="s">
        <v>401</v>
      </c>
      <c r="J115" s="45"/>
      <c r="K115" s="53">
        <v>270</v>
      </c>
      <c r="L115" s="19">
        <f t="shared" si="4"/>
        <v>0</v>
      </c>
      <c r="M115" s="19">
        <f t="shared" si="5"/>
        <v>0</v>
      </c>
      <c r="N115" s="19">
        <f t="shared" si="6"/>
        <v>0</v>
      </c>
      <c r="O115" s="19">
        <f t="shared" si="0"/>
        <v>0</v>
      </c>
      <c r="P115" s="48"/>
      <c r="Q115" s="26"/>
    </row>
    <row r="116" spans="1:17">
      <c r="A116" s="158" t="s">
        <v>165</v>
      </c>
      <c r="B116" s="244">
        <v>0</v>
      </c>
      <c r="C116" s="80">
        <v>225</v>
      </c>
      <c r="D116" s="45">
        <v>500</v>
      </c>
      <c r="E116" s="99">
        <v>500</v>
      </c>
      <c r="F116" s="45"/>
      <c r="G116" s="60">
        <v>30</v>
      </c>
      <c r="H116" s="60"/>
      <c r="I116" s="60" t="s">
        <v>396</v>
      </c>
      <c r="J116" s="45"/>
      <c r="K116" s="53">
        <v>270</v>
      </c>
      <c r="L116" s="19">
        <f t="shared" si="4"/>
        <v>0</v>
      </c>
      <c r="M116" s="19">
        <f t="shared" si="5"/>
        <v>0</v>
      </c>
      <c r="N116" s="19">
        <f t="shared" si="6"/>
        <v>0</v>
      </c>
      <c r="O116" s="19">
        <f t="shared" si="0"/>
        <v>0</v>
      </c>
      <c r="P116" s="48"/>
      <c r="Q116" s="26"/>
    </row>
    <row r="117" spans="1:17" ht="15.75" thickBot="1">
      <c r="A117" s="159" t="s">
        <v>166</v>
      </c>
      <c r="B117" s="245">
        <v>0</v>
      </c>
      <c r="C117" s="81">
        <v>625</v>
      </c>
      <c r="D117" s="59">
        <v>1050</v>
      </c>
      <c r="E117" s="100">
        <v>750</v>
      </c>
      <c r="F117" s="49"/>
      <c r="G117" s="59">
        <v>30</v>
      </c>
      <c r="H117" s="59"/>
      <c r="I117" s="59" t="s">
        <v>396</v>
      </c>
      <c r="J117" s="49"/>
      <c r="K117" s="53">
        <v>270</v>
      </c>
      <c r="L117" s="21">
        <f t="shared" si="4"/>
        <v>0</v>
      </c>
      <c r="M117" s="21">
        <f t="shared" si="5"/>
        <v>0</v>
      </c>
      <c r="N117" s="21">
        <f t="shared" si="6"/>
        <v>0</v>
      </c>
      <c r="O117" s="21">
        <f t="shared" si="0"/>
        <v>0</v>
      </c>
      <c r="P117" s="55" t="s">
        <v>91</v>
      </c>
      <c r="Q117" s="56"/>
    </row>
    <row r="118" spans="1:17">
      <c r="A118" s="154" t="s">
        <v>901</v>
      </c>
      <c r="B118" s="243">
        <v>0</v>
      </c>
      <c r="C118" s="168">
        <v>50</v>
      </c>
      <c r="D118" s="169">
        <v>70</v>
      </c>
      <c r="E118" s="170">
        <v>110</v>
      </c>
      <c r="F118" s="168">
        <v>50</v>
      </c>
      <c r="G118" s="70">
        <v>10</v>
      </c>
      <c r="H118" s="70"/>
      <c r="I118" s="70" t="s">
        <v>399</v>
      </c>
      <c r="J118" s="169">
        <v>1</v>
      </c>
      <c r="K118" s="52">
        <v>350</v>
      </c>
      <c r="L118" s="42">
        <f t="shared" ref="L118:N122" si="9">$B118*C118</f>
        <v>0</v>
      </c>
      <c r="M118" s="42">
        <f t="shared" si="9"/>
        <v>0</v>
      </c>
      <c r="N118" s="42">
        <f t="shared" si="9"/>
        <v>0</v>
      </c>
      <c r="O118" s="42">
        <f t="shared" ref="O118:O127" si="10">$B118*K118</f>
        <v>0</v>
      </c>
      <c r="P118" s="57"/>
      <c r="Q118" s="44" t="s">
        <v>112</v>
      </c>
    </row>
    <row r="119" spans="1:17">
      <c r="A119" s="155" t="s">
        <v>578</v>
      </c>
      <c r="B119" s="244">
        <v>0</v>
      </c>
      <c r="C119" s="80">
        <v>75</v>
      </c>
      <c r="D119" s="45">
        <v>105</v>
      </c>
      <c r="E119" s="99">
        <v>165</v>
      </c>
      <c r="F119" s="80">
        <v>75</v>
      </c>
      <c r="G119" s="60">
        <v>10</v>
      </c>
      <c r="H119" s="60"/>
      <c r="I119" s="60" t="s">
        <v>399</v>
      </c>
      <c r="J119" s="45"/>
      <c r="K119" s="53">
        <v>350</v>
      </c>
      <c r="L119" s="19">
        <f t="shared" si="9"/>
        <v>0</v>
      </c>
      <c r="M119" s="19">
        <f t="shared" si="9"/>
        <v>0</v>
      </c>
      <c r="N119" s="19">
        <f t="shared" si="9"/>
        <v>0</v>
      </c>
      <c r="O119" s="19">
        <f t="shared" si="10"/>
        <v>0</v>
      </c>
      <c r="P119" s="48"/>
      <c r="Q119" s="26" t="s">
        <v>112</v>
      </c>
    </row>
    <row r="120" spans="1:17">
      <c r="A120" s="157" t="s">
        <v>579</v>
      </c>
      <c r="B120" s="244">
        <v>0</v>
      </c>
      <c r="C120" s="80">
        <v>100</v>
      </c>
      <c r="D120" s="45">
        <v>140</v>
      </c>
      <c r="E120" s="99">
        <v>220</v>
      </c>
      <c r="F120" s="80">
        <v>100</v>
      </c>
      <c r="G120" s="60">
        <v>10</v>
      </c>
      <c r="H120" s="60"/>
      <c r="I120" s="60" t="s">
        <v>399</v>
      </c>
      <c r="J120" s="45"/>
      <c r="K120" s="53">
        <v>350</v>
      </c>
      <c r="L120" s="19">
        <f t="shared" si="9"/>
        <v>0</v>
      </c>
      <c r="M120" s="19">
        <f t="shared" si="9"/>
        <v>0</v>
      </c>
      <c r="N120" s="19">
        <f t="shared" si="9"/>
        <v>0</v>
      </c>
      <c r="O120" s="19">
        <f t="shared" si="10"/>
        <v>0</v>
      </c>
      <c r="P120" s="48"/>
      <c r="Q120" s="26" t="s">
        <v>112</v>
      </c>
    </row>
    <row r="121" spans="1:17">
      <c r="A121" s="158" t="s">
        <v>580</v>
      </c>
      <c r="B121" s="244">
        <v>0</v>
      </c>
      <c r="C121" s="80">
        <v>150</v>
      </c>
      <c r="D121" s="45">
        <v>210</v>
      </c>
      <c r="E121" s="99">
        <v>330</v>
      </c>
      <c r="F121" s="80">
        <v>200</v>
      </c>
      <c r="G121" s="60">
        <v>10</v>
      </c>
      <c r="H121" s="60"/>
      <c r="I121" s="60" t="s">
        <v>399</v>
      </c>
      <c r="J121" s="45"/>
      <c r="K121" s="53">
        <v>350</v>
      </c>
      <c r="L121" s="19">
        <f t="shared" si="9"/>
        <v>0</v>
      </c>
      <c r="M121" s="19">
        <f t="shared" si="9"/>
        <v>0</v>
      </c>
      <c r="N121" s="19">
        <f t="shared" si="9"/>
        <v>0</v>
      </c>
      <c r="O121" s="19">
        <f t="shared" si="10"/>
        <v>0</v>
      </c>
      <c r="P121" s="48"/>
      <c r="Q121" s="26" t="s">
        <v>315</v>
      </c>
    </row>
    <row r="122" spans="1:17" ht="15.75" thickBot="1">
      <c r="A122" s="159" t="s">
        <v>581</v>
      </c>
      <c r="B122" s="245">
        <v>0</v>
      </c>
      <c r="C122" s="81">
        <v>200</v>
      </c>
      <c r="D122" s="49">
        <v>280</v>
      </c>
      <c r="E122" s="100">
        <v>440</v>
      </c>
      <c r="F122" s="81">
        <v>600</v>
      </c>
      <c r="G122" s="59">
        <v>10</v>
      </c>
      <c r="H122" s="59"/>
      <c r="I122" s="59" t="s">
        <v>399</v>
      </c>
      <c r="J122" s="49"/>
      <c r="K122" s="54">
        <v>350</v>
      </c>
      <c r="L122" s="19">
        <f t="shared" si="9"/>
        <v>0</v>
      </c>
      <c r="M122" s="21">
        <f t="shared" si="9"/>
        <v>0</v>
      </c>
      <c r="N122" s="21">
        <f t="shared" si="9"/>
        <v>0</v>
      </c>
      <c r="O122" s="21">
        <f t="shared" si="10"/>
        <v>0</v>
      </c>
      <c r="P122" s="55"/>
      <c r="Q122" s="56" t="s">
        <v>241</v>
      </c>
    </row>
    <row r="123" spans="1:17">
      <c r="A123" s="154" t="s">
        <v>902</v>
      </c>
      <c r="B123" s="243">
        <v>0</v>
      </c>
      <c r="C123" s="168">
        <v>400</v>
      </c>
      <c r="D123" s="169">
        <v>2000</v>
      </c>
      <c r="E123" s="170">
        <v>5000</v>
      </c>
      <c r="F123" s="169"/>
      <c r="G123" s="70">
        <v>80</v>
      </c>
      <c r="H123" s="70"/>
      <c r="I123" s="70" t="s">
        <v>403</v>
      </c>
      <c r="J123" s="169">
        <v>50</v>
      </c>
      <c r="K123" s="52">
        <v>2500</v>
      </c>
      <c r="L123" s="42">
        <f t="shared" si="4"/>
        <v>0</v>
      </c>
      <c r="M123" s="42">
        <f t="shared" si="5"/>
        <v>0</v>
      </c>
      <c r="N123" s="42">
        <f t="shared" si="6"/>
        <v>0</v>
      </c>
      <c r="O123" s="42">
        <f t="shared" si="10"/>
        <v>0</v>
      </c>
      <c r="P123" s="57"/>
      <c r="Q123" s="44"/>
    </row>
    <row r="124" spans="1:17">
      <c r="A124" s="155" t="s">
        <v>582</v>
      </c>
      <c r="B124" s="244">
        <v>0</v>
      </c>
      <c r="C124" s="80">
        <v>600</v>
      </c>
      <c r="D124" s="45">
        <v>3000</v>
      </c>
      <c r="E124" s="99">
        <v>7500</v>
      </c>
      <c r="F124" s="45"/>
      <c r="G124" s="60">
        <v>100</v>
      </c>
      <c r="H124" s="60"/>
      <c r="I124" s="60" t="s">
        <v>403</v>
      </c>
      <c r="J124" s="45"/>
      <c r="K124" s="53">
        <v>2500</v>
      </c>
      <c r="L124" s="19">
        <f t="shared" si="4"/>
        <v>0</v>
      </c>
      <c r="M124" s="19">
        <f t="shared" si="5"/>
        <v>0</v>
      </c>
      <c r="N124" s="19">
        <f t="shared" si="6"/>
        <v>0</v>
      </c>
      <c r="O124" s="19">
        <f t="shared" si="10"/>
        <v>0</v>
      </c>
      <c r="P124" s="48"/>
      <c r="Q124" s="26"/>
    </row>
    <row r="125" spans="1:17">
      <c r="A125" s="157" t="s">
        <v>583</v>
      </c>
      <c r="B125" s="244">
        <v>0</v>
      </c>
      <c r="C125" s="80">
        <v>800</v>
      </c>
      <c r="D125" s="45">
        <v>4000</v>
      </c>
      <c r="E125" s="99">
        <v>10000</v>
      </c>
      <c r="F125" s="45"/>
      <c r="G125" s="60">
        <v>100</v>
      </c>
      <c r="H125" s="60"/>
      <c r="I125" s="60" t="s">
        <v>403</v>
      </c>
      <c r="J125" s="45"/>
      <c r="K125" s="53">
        <v>2500</v>
      </c>
      <c r="L125" s="19">
        <f t="shared" si="4"/>
        <v>0</v>
      </c>
      <c r="M125" s="19">
        <f t="shared" si="5"/>
        <v>0</v>
      </c>
      <c r="N125" s="19">
        <f t="shared" si="6"/>
        <v>0</v>
      </c>
      <c r="O125" s="19">
        <f t="shared" si="10"/>
        <v>0</v>
      </c>
      <c r="P125" s="48"/>
      <c r="Q125" s="26"/>
    </row>
    <row r="126" spans="1:17">
      <c r="A126" s="158" t="s">
        <v>584</v>
      </c>
      <c r="B126" s="244">
        <v>0</v>
      </c>
      <c r="C126" s="80">
        <v>1200</v>
      </c>
      <c r="D126" s="45">
        <v>6000</v>
      </c>
      <c r="E126" s="99">
        <v>15000</v>
      </c>
      <c r="F126" s="45"/>
      <c r="G126" s="60">
        <v>100</v>
      </c>
      <c r="H126" s="60"/>
      <c r="I126" s="60" t="s">
        <v>403</v>
      </c>
      <c r="J126" s="45"/>
      <c r="K126" s="53">
        <v>2500</v>
      </c>
      <c r="L126" s="19">
        <f t="shared" si="4"/>
        <v>0</v>
      </c>
      <c r="M126" s="19">
        <f t="shared" si="5"/>
        <v>0</v>
      </c>
      <c r="N126" s="19">
        <f t="shared" si="6"/>
        <v>0</v>
      </c>
      <c r="O126" s="19">
        <f t="shared" si="10"/>
        <v>0</v>
      </c>
      <c r="P126" s="48"/>
      <c r="Q126" s="26"/>
    </row>
    <row r="127" spans="1:17" ht="15.75" thickBot="1">
      <c r="A127" s="159" t="s">
        <v>585</v>
      </c>
      <c r="B127" s="245">
        <v>0</v>
      </c>
      <c r="C127" s="81">
        <v>1600</v>
      </c>
      <c r="D127" s="49">
        <v>8000</v>
      </c>
      <c r="E127" s="100">
        <v>20000</v>
      </c>
      <c r="F127" s="49"/>
      <c r="G127" s="59">
        <v>100</v>
      </c>
      <c r="H127" s="59"/>
      <c r="I127" s="59" t="s">
        <v>403</v>
      </c>
      <c r="J127" s="49"/>
      <c r="K127" s="54">
        <v>2500</v>
      </c>
      <c r="L127" s="21">
        <f t="shared" si="4"/>
        <v>0</v>
      </c>
      <c r="M127" s="21">
        <f t="shared" si="5"/>
        <v>0</v>
      </c>
      <c r="N127" s="21">
        <f t="shared" si="6"/>
        <v>0</v>
      </c>
      <c r="O127" s="21">
        <f t="shared" si="10"/>
        <v>0</v>
      </c>
      <c r="P127" s="55"/>
      <c r="Q127" s="56"/>
    </row>
    <row r="128" spans="1:17">
      <c r="A128" s="171" t="s">
        <v>663</v>
      </c>
      <c r="B128" s="244">
        <v>0</v>
      </c>
      <c r="C128" s="79">
        <v>750</v>
      </c>
      <c r="D128" s="13">
        <v>900</v>
      </c>
      <c r="E128" s="53">
        <v>1400</v>
      </c>
      <c r="F128" s="13"/>
      <c r="G128" s="60">
        <v>60</v>
      </c>
      <c r="H128" s="60">
        <v>80</v>
      </c>
      <c r="I128" s="60" t="s">
        <v>399</v>
      </c>
      <c r="J128" s="13">
        <v>60</v>
      </c>
      <c r="K128" s="53">
        <v>1600</v>
      </c>
      <c r="L128" s="19">
        <f t="shared" si="4"/>
        <v>0</v>
      </c>
      <c r="M128" s="19">
        <f t="shared" si="5"/>
        <v>0</v>
      </c>
      <c r="N128" s="19">
        <f t="shared" si="6"/>
        <v>0</v>
      </c>
      <c r="O128" s="19">
        <f t="shared" ref="O128:O135" si="11">$B128*K128</f>
        <v>0</v>
      </c>
      <c r="P128" s="16"/>
      <c r="Q128" s="26"/>
    </row>
    <row r="129" spans="1:17">
      <c r="A129" s="155" t="s">
        <v>194</v>
      </c>
      <c r="B129" s="244">
        <v>0</v>
      </c>
      <c r="C129" s="62">
        <v>1138</v>
      </c>
      <c r="D129" s="60">
        <v>1125</v>
      </c>
      <c r="E129" s="101">
        <v>1550</v>
      </c>
      <c r="F129" s="60"/>
      <c r="G129" s="60">
        <v>80</v>
      </c>
      <c r="H129" s="60"/>
      <c r="I129" s="60" t="s">
        <v>399</v>
      </c>
      <c r="J129" s="60">
        <v>60</v>
      </c>
      <c r="K129" s="53">
        <v>1600</v>
      </c>
      <c r="L129" s="19">
        <f t="shared" si="4"/>
        <v>0</v>
      </c>
      <c r="M129" s="19">
        <f t="shared" si="5"/>
        <v>0</v>
      </c>
      <c r="N129" s="19">
        <f t="shared" si="6"/>
        <v>0</v>
      </c>
      <c r="O129" s="19">
        <f t="shared" si="11"/>
        <v>0</v>
      </c>
      <c r="P129" s="48"/>
      <c r="Q129" s="47"/>
    </row>
    <row r="130" spans="1:17">
      <c r="A130" s="155" t="s">
        <v>195</v>
      </c>
      <c r="B130" s="244">
        <v>0</v>
      </c>
      <c r="C130" s="62">
        <v>1550</v>
      </c>
      <c r="D130" s="45">
        <v>850</v>
      </c>
      <c r="E130" s="101">
        <v>1050</v>
      </c>
      <c r="F130" s="60"/>
      <c r="G130" s="60">
        <v>80</v>
      </c>
      <c r="H130" s="60"/>
      <c r="I130" s="60" t="s">
        <v>399</v>
      </c>
      <c r="J130" s="60"/>
      <c r="K130" s="53">
        <v>1600</v>
      </c>
      <c r="L130" s="19">
        <f t="shared" si="4"/>
        <v>0</v>
      </c>
      <c r="M130" s="19">
        <f t="shared" si="5"/>
        <v>0</v>
      </c>
      <c r="N130" s="19">
        <f t="shared" si="6"/>
        <v>0</v>
      </c>
      <c r="O130" s="19">
        <f t="shared" si="11"/>
        <v>0</v>
      </c>
      <c r="P130" s="48"/>
      <c r="Q130" s="47"/>
    </row>
    <row r="131" spans="1:17">
      <c r="A131" s="155" t="s">
        <v>196</v>
      </c>
      <c r="B131" s="244">
        <v>0</v>
      </c>
      <c r="C131" s="80">
        <v>838</v>
      </c>
      <c r="D131" s="60">
        <v>1225</v>
      </c>
      <c r="E131" s="101">
        <v>1750</v>
      </c>
      <c r="F131" s="60"/>
      <c r="G131" s="60">
        <v>80</v>
      </c>
      <c r="H131" s="60"/>
      <c r="I131" s="60" t="s">
        <v>399</v>
      </c>
      <c r="J131" s="60"/>
      <c r="K131" s="53">
        <v>1600</v>
      </c>
      <c r="L131" s="19">
        <f t="shared" si="4"/>
        <v>0</v>
      </c>
      <c r="M131" s="19">
        <f t="shared" si="5"/>
        <v>0</v>
      </c>
      <c r="N131" s="19">
        <f t="shared" si="6"/>
        <v>0</v>
      </c>
      <c r="O131" s="19">
        <f t="shared" si="11"/>
        <v>0</v>
      </c>
      <c r="P131" s="48"/>
      <c r="Q131" s="47"/>
    </row>
    <row r="132" spans="1:17">
      <c r="A132" s="155" t="s">
        <v>197</v>
      </c>
      <c r="B132" s="244">
        <v>0</v>
      </c>
      <c r="C132" s="80">
        <v>938</v>
      </c>
      <c r="D132" s="60">
        <v>1125</v>
      </c>
      <c r="E132" s="101">
        <v>1750</v>
      </c>
      <c r="F132" s="60"/>
      <c r="G132" s="60">
        <v>80</v>
      </c>
      <c r="H132" s="60"/>
      <c r="I132" s="60" t="s">
        <v>399</v>
      </c>
      <c r="J132" s="60"/>
      <c r="K132" s="53">
        <v>1600</v>
      </c>
      <c r="L132" s="19">
        <f t="shared" si="4"/>
        <v>0</v>
      </c>
      <c r="M132" s="19">
        <f t="shared" si="5"/>
        <v>0</v>
      </c>
      <c r="N132" s="19">
        <f t="shared" si="6"/>
        <v>0</v>
      </c>
      <c r="O132" s="19">
        <f t="shared" si="11"/>
        <v>0</v>
      </c>
      <c r="P132" s="48"/>
      <c r="Q132" s="47"/>
    </row>
    <row r="133" spans="1:17">
      <c r="A133" s="155" t="s">
        <v>198</v>
      </c>
      <c r="B133" s="244">
        <v>0</v>
      </c>
      <c r="C133" s="62">
        <v>1150</v>
      </c>
      <c r="D133" s="45">
        <v>900</v>
      </c>
      <c r="E133" s="101">
        <v>1700</v>
      </c>
      <c r="F133" s="60"/>
      <c r="G133" s="60">
        <v>80</v>
      </c>
      <c r="H133" s="60"/>
      <c r="I133" s="60" t="s">
        <v>399</v>
      </c>
      <c r="J133" s="60"/>
      <c r="K133" s="53">
        <v>1600</v>
      </c>
      <c r="L133" s="19">
        <f t="shared" si="4"/>
        <v>0</v>
      </c>
      <c r="M133" s="19">
        <f t="shared" si="5"/>
        <v>0</v>
      </c>
      <c r="N133" s="19">
        <f t="shared" si="6"/>
        <v>0</v>
      </c>
      <c r="O133" s="19">
        <f t="shared" si="11"/>
        <v>0</v>
      </c>
      <c r="P133" s="48"/>
      <c r="Q133" s="47"/>
    </row>
    <row r="134" spans="1:17">
      <c r="A134" s="155" t="s">
        <v>199</v>
      </c>
      <c r="B134" s="244">
        <v>0</v>
      </c>
      <c r="C134" s="80">
        <v>900</v>
      </c>
      <c r="D134" s="60">
        <v>1080</v>
      </c>
      <c r="E134" s="101">
        <v>1680</v>
      </c>
      <c r="F134" s="60"/>
      <c r="G134" s="60">
        <v>80</v>
      </c>
      <c r="H134" s="60"/>
      <c r="I134" s="60" t="s">
        <v>399</v>
      </c>
      <c r="J134" s="60"/>
      <c r="K134" s="53">
        <v>1600</v>
      </c>
      <c r="L134" s="19">
        <f t="shared" si="4"/>
        <v>0</v>
      </c>
      <c r="M134" s="19">
        <f t="shared" si="5"/>
        <v>0</v>
      </c>
      <c r="N134" s="19">
        <f t="shared" si="6"/>
        <v>0</v>
      </c>
      <c r="O134" s="19">
        <f t="shared" si="11"/>
        <v>0</v>
      </c>
      <c r="P134" s="48"/>
      <c r="Q134" s="47"/>
    </row>
    <row r="135" spans="1:17">
      <c r="A135" s="157" t="s">
        <v>200</v>
      </c>
      <c r="B135" s="244">
        <v>0</v>
      </c>
      <c r="C135" s="80">
        <v>938</v>
      </c>
      <c r="D135" s="60">
        <v>1125</v>
      </c>
      <c r="E135" s="101">
        <v>1750</v>
      </c>
      <c r="F135" s="60"/>
      <c r="G135" s="60">
        <v>80</v>
      </c>
      <c r="H135" s="60"/>
      <c r="I135" s="60" t="s">
        <v>399</v>
      </c>
      <c r="J135" s="60"/>
      <c r="K135" s="53">
        <v>1600</v>
      </c>
      <c r="L135" s="19">
        <f t="shared" si="4"/>
        <v>0</v>
      </c>
      <c r="M135" s="19">
        <f t="shared" si="5"/>
        <v>0</v>
      </c>
      <c r="N135" s="19">
        <f t="shared" si="6"/>
        <v>0</v>
      </c>
      <c r="O135" s="19">
        <f t="shared" si="11"/>
        <v>0</v>
      </c>
      <c r="P135" s="48"/>
      <c r="Q135" s="47"/>
    </row>
    <row r="136" spans="1:17">
      <c r="A136" s="157" t="s">
        <v>201</v>
      </c>
      <c r="B136" s="244">
        <v>0</v>
      </c>
      <c r="C136" s="80">
        <v>750</v>
      </c>
      <c r="D136" s="45">
        <v>900</v>
      </c>
      <c r="E136" s="101">
        <v>1400</v>
      </c>
      <c r="F136" s="60">
        <v>180</v>
      </c>
      <c r="G136" s="60">
        <v>80</v>
      </c>
      <c r="H136" s="60"/>
      <c r="I136" s="60" t="s">
        <v>399</v>
      </c>
      <c r="J136" s="60"/>
      <c r="K136" s="53">
        <v>1600</v>
      </c>
      <c r="L136" s="19">
        <f t="shared" si="4"/>
        <v>0</v>
      </c>
      <c r="M136" s="19">
        <f t="shared" si="5"/>
        <v>0</v>
      </c>
      <c r="N136" s="19">
        <f t="shared" si="6"/>
        <v>0</v>
      </c>
      <c r="O136" s="19">
        <f t="shared" ref="O136:O156" si="12">$B136*K136</f>
        <v>0</v>
      </c>
      <c r="P136" s="48" t="s">
        <v>88</v>
      </c>
      <c r="Q136" s="47" t="s">
        <v>275</v>
      </c>
    </row>
    <row r="137" spans="1:17">
      <c r="A137" s="157" t="s">
        <v>203</v>
      </c>
      <c r="B137" s="244">
        <v>0</v>
      </c>
      <c r="C137" s="62">
        <v>1950</v>
      </c>
      <c r="D137" s="60">
        <v>1100</v>
      </c>
      <c r="E137" s="101">
        <v>2000</v>
      </c>
      <c r="F137" s="60"/>
      <c r="G137" s="60">
        <v>80</v>
      </c>
      <c r="H137" s="60"/>
      <c r="I137" s="60" t="s">
        <v>399</v>
      </c>
      <c r="J137" s="60"/>
      <c r="K137" s="53">
        <v>1600</v>
      </c>
      <c r="L137" s="19">
        <f t="shared" si="4"/>
        <v>0</v>
      </c>
      <c r="M137" s="19">
        <f t="shared" si="5"/>
        <v>0</v>
      </c>
      <c r="N137" s="19">
        <f t="shared" si="6"/>
        <v>0</v>
      </c>
      <c r="O137" s="19">
        <f t="shared" si="12"/>
        <v>0</v>
      </c>
      <c r="P137" s="48"/>
      <c r="Q137" s="47"/>
    </row>
    <row r="138" spans="1:17">
      <c r="A138" s="157" t="s">
        <v>204</v>
      </c>
      <c r="B138" s="244">
        <v>0</v>
      </c>
      <c r="C138" s="62">
        <v>1313</v>
      </c>
      <c r="D138" s="60">
        <v>1575</v>
      </c>
      <c r="E138" s="101">
        <v>2450</v>
      </c>
      <c r="F138" s="60"/>
      <c r="G138" s="60">
        <v>80</v>
      </c>
      <c r="H138" s="60"/>
      <c r="I138" s="60" t="s">
        <v>399</v>
      </c>
      <c r="J138" s="60"/>
      <c r="K138" s="53">
        <v>1600</v>
      </c>
      <c r="L138" s="19">
        <f t="shared" si="4"/>
        <v>0</v>
      </c>
      <c r="M138" s="19">
        <f t="shared" si="5"/>
        <v>0</v>
      </c>
      <c r="N138" s="19">
        <f t="shared" si="6"/>
        <v>0</v>
      </c>
      <c r="O138" s="19">
        <f t="shared" si="12"/>
        <v>0</v>
      </c>
      <c r="P138" s="48"/>
      <c r="Q138" s="47"/>
    </row>
    <row r="139" spans="1:17">
      <c r="A139" s="158" t="s">
        <v>205</v>
      </c>
      <c r="B139" s="244">
        <v>0</v>
      </c>
      <c r="C139" s="62">
        <v>1000</v>
      </c>
      <c r="D139" s="60">
        <v>2250</v>
      </c>
      <c r="E139" s="101">
        <v>5500</v>
      </c>
      <c r="F139" s="60"/>
      <c r="G139" s="60">
        <v>80</v>
      </c>
      <c r="H139" s="60"/>
      <c r="I139" s="60" t="s">
        <v>399</v>
      </c>
      <c r="J139" s="60"/>
      <c r="K139" s="53">
        <v>1600</v>
      </c>
      <c r="L139" s="19">
        <f t="shared" si="4"/>
        <v>0</v>
      </c>
      <c r="M139" s="19">
        <f t="shared" si="5"/>
        <v>0</v>
      </c>
      <c r="N139" s="19">
        <f t="shared" si="6"/>
        <v>0</v>
      </c>
      <c r="O139" s="19">
        <f t="shared" si="12"/>
        <v>0</v>
      </c>
      <c r="P139" s="48"/>
      <c r="Q139" s="47"/>
    </row>
    <row r="140" spans="1:17">
      <c r="A140" s="158" t="s">
        <v>206</v>
      </c>
      <c r="B140" s="244">
        <v>0</v>
      </c>
      <c r="C140" s="80">
        <v>750</v>
      </c>
      <c r="D140" s="45">
        <v>900</v>
      </c>
      <c r="E140" s="101">
        <v>1400</v>
      </c>
      <c r="F140" s="60">
        <v>960</v>
      </c>
      <c r="G140" s="60">
        <v>80</v>
      </c>
      <c r="H140" s="60"/>
      <c r="I140" s="60" t="s">
        <v>399</v>
      </c>
      <c r="J140" s="60"/>
      <c r="K140" s="53">
        <v>1600</v>
      </c>
      <c r="L140" s="19">
        <f t="shared" si="4"/>
        <v>0</v>
      </c>
      <c r="M140" s="19">
        <f t="shared" si="5"/>
        <v>0</v>
      </c>
      <c r="N140" s="19">
        <f t="shared" si="6"/>
        <v>0</v>
      </c>
      <c r="O140" s="19">
        <f t="shared" si="12"/>
        <v>0</v>
      </c>
      <c r="P140" s="48" t="s">
        <v>88</v>
      </c>
      <c r="Q140" s="47" t="s">
        <v>207</v>
      </c>
    </row>
    <row r="141" spans="1:17" ht="15.75" thickBot="1">
      <c r="A141" s="159" t="s">
        <v>208</v>
      </c>
      <c r="B141" s="245">
        <v>0</v>
      </c>
      <c r="C141" s="62">
        <v>3750</v>
      </c>
      <c r="D141" s="60">
        <v>4500</v>
      </c>
      <c r="E141" s="101">
        <v>7000</v>
      </c>
      <c r="F141" s="60"/>
      <c r="G141" s="60">
        <v>80</v>
      </c>
      <c r="H141" s="60"/>
      <c r="I141" s="60" t="s">
        <v>399</v>
      </c>
      <c r="J141" s="60"/>
      <c r="K141" s="53">
        <v>1600</v>
      </c>
      <c r="L141" s="21">
        <f t="shared" si="4"/>
        <v>0</v>
      </c>
      <c r="M141" s="21">
        <f t="shared" si="5"/>
        <v>0</v>
      </c>
      <c r="N141" s="21">
        <f t="shared" si="6"/>
        <v>0</v>
      </c>
      <c r="O141" s="21">
        <f t="shared" si="12"/>
        <v>0</v>
      </c>
      <c r="P141" s="55" t="s">
        <v>88</v>
      </c>
      <c r="Q141" s="51"/>
    </row>
    <row r="142" spans="1:17">
      <c r="A142" s="154" t="s">
        <v>664</v>
      </c>
      <c r="B142" s="243">
        <v>0</v>
      </c>
      <c r="C142" s="168">
        <v>200</v>
      </c>
      <c r="D142" s="169">
        <v>100</v>
      </c>
      <c r="E142" s="170">
        <v>120</v>
      </c>
      <c r="F142" s="169"/>
      <c r="G142" s="70">
        <v>12</v>
      </c>
      <c r="H142" s="70"/>
      <c r="I142" s="70" t="s">
        <v>403</v>
      </c>
      <c r="J142" s="169">
        <v>1</v>
      </c>
      <c r="K142" s="52">
        <v>450</v>
      </c>
      <c r="L142" s="42">
        <f t="shared" ref="L142:N146" si="13">$B142*C142</f>
        <v>0</v>
      </c>
      <c r="M142" s="42">
        <f t="shared" si="13"/>
        <v>0</v>
      </c>
      <c r="N142" s="42">
        <f t="shared" si="13"/>
        <v>0</v>
      </c>
      <c r="O142" s="42">
        <f t="shared" si="12"/>
        <v>0</v>
      </c>
      <c r="P142" s="57"/>
      <c r="Q142" s="44"/>
    </row>
    <row r="143" spans="1:17">
      <c r="A143" s="155" t="s">
        <v>586</v>
      </c>
      <c r="B143" s="244">
        <v>0</v>
      </c>
      <c r="C143" s="80">
        <v>450</v>
      </c>
      <c r="D143" s="45">
        <v>150</v>
      </c>
      <c r="E143" s="99">
        <v>180</v>
      </c>
      <c r="F143" s="45"/>
      <c r="G143" s="60">
        <v>20</v>
      </c>
      <c r="H143" s="60"/>
      <c r="I143" s="60" t="s">
        <v>403</v>
      </c>
      <c r="J143" s="45">
        <v>1</v>
      </c>
      <c r="K143" s="53">
        <v>450</v>
      </c>
      <c r="L143" s="19">
        <f t="shared" si="13"/>
        <v>0</v>
      </c>
      <c r="M143" s="19">
        <f t="shared" si="13"/>
        <v>0</v>
      </c>
      <c r="N143" s="19">
        <f t="shared" si="13"/>
        <v>0</v>
      </c>
      <c r="O143" s="19">
        <f t="shared" si="12"/>
        <v>0</v>
      </c>
      <c r="P143" s="48"/>
      <c r="Q143" s="26"/>
    </row>
    <row r="144" spans="1:17">
      <c r="A144" s="157" t="s">
        <v>587</v>
      </c>
      <c r="B144" s="244">
        <v>0</v>
      </c>
      <c r="C144" s="80">
        <v>600</v>
      </c>
      <c r="D144" s="45">
        <v>200</v>
      </c>
      <c r="E144" s="99">
        <v>240</v>
      </c>
      <c r="F144" s="45"/>
      <c r="G144" s="60">
        <v>20</v>
      </c>
      <c r="H144" s="60"/>
      <c r="I144" s="60" t="s">
        <v>403</v>
      </c>
      <c r="J144" s="45">
        <v>1</v>
      </c>
      <c r="K144" s="53">
        <v>450</v>
      </c>
      <c r="L144" s="19">
        <f t="shared" si="13"/>
        <v>0</v>
      </c>
      <c r="M144" s="19">
        <f t="shared" si="13"/>
        <v>0</v>
      </c>
      <c r="N144" s="19">
        <f t="shared" si="13"/>
        <v>0</v>
      </c>
      <c r="O144" s="19">
        <f t="shared" si="12"/>
        <v>0</v>
      </c>
      <c r="P144" s="48"/>
      <c r="Q144" s="26"/>
    </row>
    <row r="145" spans="1:17">
      <c r="A145" s="158" t="s">
        <v>588</v>
      </c>
      <c r="B145" s="244">
        <v>0</v>
      </c>
      <c r="C145" s="80">
        <v>1000</v>
      </c>
      <c r="D145" s="45">
        <v>300</v>
      </c>
      <c r="E145" s="99">
        <v>520</v>
      </c>
      <c r="F145" s="45"/>
      <c r="G145" s="60">
        <v>20</v>
      </c>
      <c r="H145" s="60"/>
      <c r="I145" s="60" t="s">
        <v>403</v>
      </c>
      <c r="J145" s="45">
        <v>1</v>
      </c>
      <c r="K145" s="53">
        <v>450</v>
      </c>
      <c r="L145" s="19">
        <f t="shared" si="13"/>
        <v>0</v>
      </c>
      <c r="M145" s="19">
        <f t="shared" si="13"/>
        <v>0</v>
      </c>
      <c r="N145" s="19">
        <f t="shared" si="13"/>
        <v>0</v>
      </c>
      <c r="O145" s="19">
        <f t="shared" si="12"/>
        <v>0</v>
      </c>
      <c r="P145" s="48"/>
      <c r="Q145" s="26"/>
    </row>
    <row r="146" spans="1:17" ht="15.75" thickBot="1">
      <c r="A146" s="159" t="s">
        <v>589</v>
      </c>
      <c r="B146" s="245">
        <v>0</v>
      </c>
      <c r="C146" s="81">
        <v>1300</v>
      </c>
      <c r="D146" s="49">
        <v>400</v>
      </c>
      <c r="E146" s="100">
        <v>720</v>
      </c>
      <c r="F146" s="49"/>
      <c r="G146" s="59">
        <v>20</v>
      </c>
      <c r="H146" s="59"/>
      <c r="I146" s="59" t="s">
        <v>403</v>
      </c>
      <c r="J146" s="49">
        <v>1</v>
      </c>
      <c r="K146" s="53">
        <v>450</v>
      </c>
      <c r="L146" s="19">
        <f t="shared" si="13"/>
        <v>0</v>
      </c>
      <c r="M146" s="21">
        <f t="shared" si="13"/>
        <v>0</v>
      </c>
      <c r="N146" s="21">
        <f t="shared" si="13"/>
        <v>0</v>
      </c>
      <c r="O146" s="21">
        <f t="shared" si="12"/>
        <v>0</v>
      </c>
      <c r="P146" s="55"/>
      <c r="Q146" s="56"/>
    </row>
    <row r="147" spans="1:17">
      <c r="A147" s="154" t="s">
        <v>665</v>
      </c>
      <c r="B147" s="243">
        <v>0</v>
      </c>
      <c r="C147" s="39">
        <v>550</v>
      </c>
      <c r="D147" s="40">
        <v>600</v>
      </c>
      <c r="E147" s="52">
        <v>955</v>
      </c>
      <c r="F147" s="39">
        <v>80</v>
      </c>
      <c r="G147" s="70">
        <v>60</v>
      </c>
      <c r="H147" s="70">
        <v>80</v>
      </c>
      <c r="I147" s="70" t="s">
        <v>401</v>
      </c>
      <c r="J147" s="40"/>
      <c r="K147" s="52">
        <v>2200</v>
      </c>
      <c r="L147" s="42">
        <f t="shared" si="4"/>
        <v>0</v>
      </c>
      <c r="M147" s="42">
        <f t="shared" si="5"/>
        <v>0</v>
      </c>
      <c r="N147" s="42">
        <f t="shared" si="6"/>
        <v>0</v>
      </c>
      <c r="O147" s="42">
        <f t="shared" si="12"/>
        <v>0</v>
      </c>
      <c r="P147" s="38"/>
      <c r="Q147" s="44" t="s">
        <v>383</v>
      </c>
    </row>
    <row r="148" spans="1:17">
      <c r="A148" s="155" t="s">
        <v>209</v>
      </c>
      <c r="B148" s="244">
        <v>0</v>
      </c>
      <c r="C148" s="62">
        <v>1100</v>
      </c>
      <c r="D148" s="60">
        <v>1000</v>
      </c>
      <c r="E148" s="101">
        <v>1000</v>
      </c>
      <c r="F148" s="62">
        <v>68</v>
      </c>
      <c r="G148" s="60">
        <v>100</v>
      </c>
      <c r="H148" s="60"/>
      <c r="I148" s="60" t="s">
        <v>399</v>
      </c>
      <c r="J148" s="60">
        <v>80</v>
      </c>
      <c r="K148" s="53">
        <v>2200</v>
      </c>
      <c r="L148" s="19">
        <f t="shared" si="4"/>
        <v>0</v>
      </c>
      <c r="M148" s="19">
        <f t="shared" si="5"/>
        <v>0</v>
      </c>
      <c r="N148" s="19">
        <f t="shared" si="6"/>
        <v>0</v>
      </c>
      <c r="O148" s="19">
        <f t="shared" si="12"/>
        <v>0</v>
      </c>
      <c r="P148" s="48"/>
      <c r="Q148" s="47" t="s">
        <v>210</v>
      </c>
    </row>
    <row r="149" spans="1:17">
      <c r="A149" s="155" t="s">
        <v>211</v>
      </c>
      <c r="B149" s="244">
        <v>0</v>
      </c>
      <c r="C149" s="80">
        <v>550</v>
      </c>
      <c r="D149" s="45">
        <v>900</v>
      </c>
      <c r="E149" s="99">
        <v>955</v>
      </c>
      <c r="F149" s="80">
        <v>160</v>
      </c>
      <c r="G149" s="60">
        <v>100</v>
      </c>
      <c r="H149" s="60"/>
      <c r="I149" s="60" t="s">
        <v>399</v>
      </c>
      <c r="J149" s="45"/>
      <c r="K149" s="53">
        <v>2200</v>
      </c>
      <c r="L149" s="19">
        <f t="shared" si="4"/>
        <v>0</v>
      </c>
      <c r="M149" s="19">
        <f t="shared" si="5"/>
        <v>0</v>
      </c>
      <c r="N149" s="19">
        <f t="shared" si="6"/>
        <v>0</v>
      </c>
      <c r="O149" s="19">
        <f t="shared" si="12"/>
        <v>0</v>
      </c>
      <c r="P149" s="48"/>
      <c r="Q149" s="47" t="s">
        <v>212</v>
      </c>
    </row>
    <row r="150" spans="1:17">
      <c r="A150" s="155" t="s">
        <v>213</v>
      </c>
      <c r="B150" s="244">
        <v>0</v>
      </c>
      <c r="C150" s="62">
        <v>1000</v>
      </c>
      <c r="D150" s="45">
        <v>850</v>
      </c>
      <c r="E150" s="99">
        <v>955</v>
      </c>
      <c r="F150" s="80"/>
      <c r="G150" s="60">
        <v>100</v>
      </c>
      <c r="H150" s="60"/>
      <c r="I150" s="60" t="s">
        <v>399</v>
      </c>
      <c r="J150" s="45"/>
      <c r="K150" s="53">
        <v>2200</v>
      </c>
      <c r="L150" s="19">
        <f t="shared" si="4"/>
        <v>0</v>
      </c>
      <c r="M150" s="19">
        <f t="shared" si="5"/>
        <v>0</v>
      </c>
      <c r="N150" s="19">
        <f t="shared" si="6"/>
        <v>0</v>
      </c>
      <c r="O150" s="19">
        <f t="shared" si="12"/>
        <v>0</v>
      </c>
      <c r="P150" s="48"/>
      <c r="Q150" s="47"/>
    </row>
    <row r="151" spans="1:17">
      <c r="A151" s="155" t="s">
        <v>214</v>
      </c>
      <c r="B151" s="244">
        <v>0</v>
      </c>
      <c r="C151" s="80">
        <v>550</v>
      </c>
      <c r="D151" s="45">
        <v>900</v>
      </c>
      <c r="E151" s="99">
        <v>955</v>
      </c>
      <c r="F151" s="80">
        <v>300</v>
      </c>
      <c r="G151" s="60">
        <v>100</v>
      </c>
      <c r="H151" s="60"/>
      <c r="I151" s="60" t="s">
        <v>399</v>
      </c>
      <c r="J151" s="45"/>
      <c r="K151" s="53">
        <v>2200</v>
      </c>
      <c r="L151" s="19">
        <f t="shared" si="4"/>
        <v>0</v>
      </c>
      <c r="M151" s="19">
        <f t="shared" si="5"/>
        <v>0</v>
      </c>
      <c r="N151" s="19">
        <f t="shared" si="6"/>
        <v>0</v>
      </c>
      <c r="O151" s="19">
        <f t="shared" si="12"/>
        <v>0</v>
      </c>
      <c r="P151" s="48"/>
      <c r="Q151" s="47" t="s">
        <v>255</v>
      </c>
    </row>
    <row r="152" spans="1:17">
      <c r="A152" s="155" t="s">
        <v>216</v>
      </c>
      <c r="B152" s="244">
        <v>0</v>
      </c>
      <c r="C152" s="80">
        <v>500</v>
      </c>
      <c r="D152" s="60">
        <v>1400</v>
      </c>
      <c r="E152" s="101">
        <v>1500</v>
      </c>
      <c r="F152" s="62">
        <v>72</v>
      </c>
      <c r="G152" s="60">
        <v>100</v>
      </c>
      <c r="H152" s="60"/>
      <c r="I152" s="60" t="s">
        <v>399</v>
      </c>
      <c r="J152" s="60"/>
      <c r="K152" s="53">
        <v>2200</v>
      </c>
      <c r="L152" s="19">
        <f t="shared" ref="L152:L174" si="14">$B152*C152</f>
        <v>0</v>
      </c>
      <c r="M152" s="19">
        <f t="shared" ref="M152:M325" si="15">$B152*D152</f>
        <v>0</v>
      </c>
      <c r="N152" s="19">
        <f t="shared" ref="N152:N325" si="16">$B152*E152</f>
        <v>0</v>
      </c>
      <c r="O152" s="19">
        <f t="shared" si="12"/>
        <v>0</v>
      </c>
      <c r="P152" s="48"/>
      <c r="Q152" s="47" t="s">
        <v>217</v>
      </c>
    </row>
    <row r="153" spans="1:17">
      <c r="A153" s="155" t="s">
        <v>218</v>
      </c>
      <c r="B153" s="244">
        <v>0</v>
      </c>
      <c r="C153" s="80">
        <v>550</v>
      </c>
      <c r="D153" s="45">
        <v>900</v>
      </c>
      <c r="E153" s="101">
        <v>2000</v>
      </c>
      <c r="F153" s="62">
        <v>80</v>
      </c>
      <c r="G153" s="60">
        <v>100</v>
      </c>
      <c r="H153" s="60"/>
      <c r="I153" s="60" t="s">
        <v>399</v>
      </c>
      <c r="J153" s="60"/>
      <c r="K153" s="53">
        <v>2200</v>
      </c>
      <c r="L153" s="19">
        <f t="shared" si="14"/>
        <v>0</v>
      </c>
      <c r="M153" s="19">
        <f t="shared" si="15"/>
        <v>0</v>
      </c>
      <c r="N153" s="19">
        <f t="shared" si="16"/>
        <v>0</v>
      </c>
      <c r="O153" s="19">
        <f t="shared" si="12"/>
        <v>0</v>
      </c>
      <c r="P153" s="48" t="s">
        <v>88</v>
      </c>
      <c r="Q153" s="47" t="s">
        <v>219</v>
      </c>
    </row>
    <row r="154" spans="1:17">
      <c r="A154" s="157" t="s">
        <v>220</v>
      </c>
      <c r="B154" s="244">
        <v>0</v>
      </c>
      <c r="C154" s="80">
        <v>550</v>
      </c>
      <c r="D154" s="45">
        <v>900</v>
      </c>
      <c r="E154" s="101">
        <v>2500</v>
      </c>
      <c r="F154" s="62">
        <v>160</v>
      </c>
      <c r="G154" s="60">
        <v>100</v>
      </c>
      <c r="H154" s="60"/>
      <c r="I154" s="60" t="s">
        <v>399</v>
      </c>
      <c r="J154" s="60"/>
      <c r="K154" s="53">
        <v>2200</v>
      </c>
      <c r="L154" s="19">
        <f t="shared" si="14"/>
        <v>0</v>
      </c>
      <c r="M154" s="19">
        <f t="shared" si="15"/>
        <v>0</v>
      </c>
      <c r="N154" s="19">
        <f t="shared" si="16"/>
        <v>0</v>
      </c>
      <c r="O154" s="19">
        <f t="shared" si="12"/>
        <v>0</v>
      </c>
      <c r="P154" s="48" t="s">
        <v>88</v>
      </c>
      <c r="Q154" s="47" t="s">
        <v>227</v>
      </c>
    </row>
    <row r="155" spans="1:17">
      <c r="A155" s="157" t="s">
        <v>222</v>
      </c>
      <c r="B155" s="244">
        <v>0</v>
      </c>
      <c r="C155" s="80">
        <v>450</v>
      </c>
      <c r="D155" s="60">
        <v>1500</v>
      </c>
      <c r="E155" s="101">
        <v>3500</v>
      </c>
      <c r="F155" s="62">
        <v>144</v>
      </c>
      <c r="G155" s="60">
        <v>100</v>
      </c>
      <c r="H155" s="60"/>
      <c r="I155" s="60" t="s">
        <v>399</v>
      </c>
      <c r="J155" s="60"/>
      <c r="K155" s="53">
        <v>2200</v>
      </c>
      <c r="L155" s="19">
        <f t="shared" si="14"/>
        <v>0</v>
      </c>
      <c r="M155" s="19">
        <f t="shared" si="15"/>
        <v>0</v>
      </c>
      <c r="N155" s="19">
        <f t="shared" si="16"/>
        <v>0</v>
      </c>
      <c r="O155" s="19">
        <f t="shared" si="12"/>
        <v>0</v>
      </c>
      <c r="P155" s="48" t="s">
        <v>88</v>
      </c>
      <c r="Q155" s="47" t="s">
        <v>251</v>
      </c>
    </row>
    <row r="156" spans="1:17">
      <c r="A156" s="157" t="s">
        <v>223</v>
      </c>
      <c r="B156" s="244">
        <v>0</v>
      </c>
      <c r="C156" s="62">
        <v>1200</v>
      </c>
      <c r="D156" s="45">
        <v>900</v>
      </c>
      <c r="E156" s="101">
        <v>2000</v>
      </c>
      <c r="F156" s="62"/>
      <c r="G156" s="60">
        <v>100</v>
      </c>
      <c r="H156" s="60"/>
      <c r="I156" s="60" t="s">
        <v>399</v>
      </c>
      <c r="J156" s="60"/>
      <c r="K156" s="53">
        <v>2200</v>
      </c>
      <c r="L156" s="19">
        <f t="shared" si="14"/>
        <v>0</v>
      </c>
      <c r="M156" s="19">
        <f t="shared" si="15"/>
        <v>0</v>
      </c>
      <c r="N156" s="19">
        <f t="shared" si="16"/>
        <v>0</v>
      </c>
      <c r="O156" s="19">
        <f t="shared" si="12"/>
        <v>0</v>
      </c>
      <c r="P156" s="48"/>
      <c r="Q156" s="47"/>
    </row>
    <row r="157" spans="1:17">
      <c r="A157" s="157" t="s">
        <v>224</v>
      </c>
      <c r="B157" s="244">
        <v>0</v>
      </c>
      <c r="C157" s="62">
        <v>1150</v>
      </c>
      <c r="D157" s="60">
        <v>1500</v>
      </c>
      <c r="E157" s="101">
        <v>1500</v>
      </c>
      <c r="F157" s="62"/>
      <c r="G157" s="60">
        <v>100</v>
      </c>
      <c r="H157" s="60"/>
      <c r="I157" s="60" t="s">
        <v>399</v>
      </c>
      <c r="J157" s="60"/>
      <c r="K157" s="53">
        <v>2200</v>
      </c>
      <c r="L157" s="19">
        <f t="shared" si="14"/>
        <v>0</v>
      </c>
      <c r="M157" s="19">
        <f t="shared" si="15"/>
        <v>0</v>
      </c>
      <c r="N157" s="19">
        <f t="shared" si="16"/>
        <v>0</v>
      </c>
      <c r="O157" s="19">
        <f t="shared" ref="O157:O172" si="17">$B157*K157</f>
        <v>0</v>
      </c>
      <c r="P157" s="48"/>
      <c r="Q157" s="47"/>
    </row>
    <row r="158" spans="1:17">
      <c r="A158" s="158" t="s">
        <v>225</v>
      </c>
      <c r="B158" s="244">
        <v>0</v>
      </c>
      <c r="C158" s="62">
        <v>2250</v>
      </c>
      <c r="D158" s="60">
        <v>1150</v>
      </c>
      <c r="E158" s="101">
        <v>2000</v>
      </c>
      <c r="F158" s="62"/>
      <c r="G158" s="60">
        <v>100</v>
      </c>
      <c r="H158" s="60"/>
      <c r="I158" s="60" t="s">
        <v>399</v>
      </c>
      <c r="J158" s="60"/>
      <c r="K158" s="53">
        <v>2200</v>
      </c>
      <c r="L158" s="19">
        <f t="shared" si="14"/>
        <v>0</v>
      </c>
      <c r="M158" s="19">
        <f t="shared" si="15"/>
        <v>0</v>
      </c>
      <c r="N158" s="19">
        <f t="shared" si="16"/>
        <v>0</v>
      </c>
      <c r="O158" s="19">
        <f t="shared" si="17"/>
        <v>0</v>
      </c>
      <c r="P158" s="48" t="s">
        <v>88</v>
      </c>
      <c r="Q158" s="47"/>
    </row>
    <row r="159" spans="1:17">
      <c r="A159" s="158" t="s">
        <v>226</v>
      </c>
      <c r="B159" s="244">
        <v>0</v>
      </c>
      <c r="C159" s="80">
        <v>550</v>
      </c>
      <c r="D159" s="60">
        <v>2000</v>
      </c>
      <c r="E159" s="101">
        <v>4000</v>
      </c>
      <c r="F159" s="62">
        <v>340</v>
      </c>
      <c r="G159" s="60">
        <v>100</v>
      </c>
      <c r="H159" s="60"/>
      <c r="I159" s="60" t="s">
        <v>398</v>
      </c>
      <c r="J159" s="60"/>
      <c r="K159" s="53">
        <v>2200</v>
      </c>
      <c r="L159" s="19">
        <f t="shared" si="14"/>
        <v>0</v>
      </c>
      <c r="M159" s="19">
        <f t="shared" si="15"/>
        <v>0</v>
      </c>
      <c r="N159" s="19">
        <f t="shared" si="16"/>
        <v>0</v>
      </c>
      <c r="O159" s="19">
        <f t="shared" si="17"/>
        <v>0</v>
      </c>
      <c r="P159" s="48" t="s">
        <v>88</v>
      </c>
      <c r="Q159" s="47" t="s">
        <v>227</v>
      </c>
    </row>
    <row r="160" spans="1:17" ht="15.75" thickBot="1">
      <c r="A160" s="159" t="s">
        <v>228</v>
      </c>
      <c r="B160" s="245">
        <v>0</v>
      </c>
      <c r="C160" s="63">
        <v>5500</v>
      </c>
      <c r="D160" s="59">
        <v>3000</v>
      </c>
      <c r="E160" s="102">
        <v>1500</v>
      </c>
      <c r="F160" s="63"/>
      <c r="G160" s="59">
        <v>100</v>
      </c>
      <c r="H160" s="59"/>
      <c r="I160" s="59" t="s">
        <v>401</v>
      </c>
      <c r="J160" s="59"/>
      <c r="K160" s="54">
        <v>2200</v>
      </c>
      <c r="L160" s="21">
        <f t="shared" si="14"/>
        <v>0</v>
      </c>
      <c r="M160" s="21">
        <f t="shared" si="15"/>
        <v>0</v>
      </c>
      <c r="N160" s="21">
        <f t="shared" si="16"/>
        <v>0</v>
      </c>
      <c r="O160" s="21">
        <f t="shared" si="17"/>
        <v>0</v>
      </c>
      <c r="P160" s="55" t="s">
        <v>91</v>
      </c>
      <c r="Q160" s="51"/>
    </row>
    <row r="161" spans="1:17">
      <c r="A161" s="154" t="s">
        <v>666</v>
      </c>
      <c r="B161" s="243">
        <v>0</v>
      </c>
      <c r="C161" s="79">
        <v>900</v>
      </c>
      <c r="D161" s="13">
        <v>1200</v>
      </c>
      <c r="E161" s="53">
        <v>1050</v>
      </c>
      <c r="F161" s="13"/>
      <c r="G161" s="60">
        <v>70</v>
      </c>
      <c r="H161" s="60">
        <v>60</v>
      </c>
      <c r="I161" s="60" t="s">
        <v>399</v>
      </c>
      <c r="J161" s="13"/>
      <c r="K161" s="53">
        <v>2400</v>
      </c>
      <c r="L161" s="42">
        <f t="shared" si="14"/>
        <v>0</v>
      </c>
      <c r="M161" s="42">
        <f t="shared" si="15"/>
        <v>0</v>
      </c>
      <c r="N161" s="42">
        <f t="shared" si="16"/>
        <v>0</v>
      </c>
      <c r="O161" s="42">
        <f t="shared" si="17"/>
        <v>0</v>
      </c>
      <c r="P161" s="38"/>
      <c r="Q161" s="44"/>
    </row>
    <row r="162" spans="1:17">
      <c r="A162" s="155" t="s">
        <v>229</v>
      </c>
      <c r="B162" s="244">
        <v>0</v>
      </c>
      <c r="C162" s="62">
        <v>1260</v>
      </c>
      <c r="D162" s="60">
        <v>1680</v>
      </c>
      <c r="E162" s="101">
        <v>1470</v>
      </c>
      <c r="F162" s="60"/>
      <c r="G162" s="60">
        <v>50</v>
      </c>
      <c r="H162" s="60"/>
      <c r="I162" s="60" t="s">
        <v>399</v>
      </c>
      <c r="J162" s="60">
        <v>50</v>
      </c>
      <c r="K162" s="53">
        <v>2400</v>
      </c>
      <c r="L162" s="19">
        <f t="shared" si="14"/>
        <v>0</v>
      </c>
      <c r="M162" s="19">
        <f t="shared" si="15"/>
        <v>0</v>
      </c>
      <c r="N162" s="19">
        <f t="shared" si="16"/>
        <v>0</v>
      </c>
      <c r="O162" s="19">
        <f t="shared" si="17"/>
        <v>0</v>
      </c>
      <c r="P162" s="48" t="s">
        <v>88</v>
      </c>
      <c r="Q162" s="47"/>
    </row>
    <row r="163" spans="1:17">
      <c r="A163" s="155" t="s">
        <v>230</v>
      </c>
      <c r="B163" s="244">
        <v>0</v>
      </c>
      <c r="C163" s="62">
        <v>1125</v>
      </c>
      <c r="D163" s="60">
        <v>1500</v>
      </c>
      <c r="E163" s="101">
        <v>1313</v>
      </c>
      <c r="F163" s="60"/>
      <c r="G163" s="60">
        <v>50</v>
      </c>
      <c r="H163" s="60"/>
      <c r="I163" s="60" t="s">
        <v>399</v>
      </c>
      <c r="J163" s="60"/>
      <c r="K163" s="53">
        <v>2400</v>
      </c>
      <c r="L163" s="19">
        <f t="shared" si="14"/>
        <v>0</v>
      </c>
      <c r="M163" s="19">
        <f t="shared" si="15"/>
        <v>0</v>
      </c>
      <c r="N163" s="19">
        <f t="shared" si="16"/>
        <v>0</v>
      </c>
      <c r="O163" s="19">
        <f t="shared" si="17"/>
        <v>0</v>
      </c>
      <c r="P163" s="48"/>
      <c r="Q163" s="47"/>
    </row>
    <row r="164" spans="1:17">
      <c r="A164" s="155" t="s">
        <v>231</v>
      </c>
      <c r="B164" s="244">
        <v>0</v>
      </c>
      <c r="C164" s="62">
        <v>1450</v>
      </c>
      <c r="D164" s="60">
        <v>1500</v>
      </c>
      <c r="E164" s="101">
        <v>1000</v>
      </c>
      <c r="F164" s="60"/>
      <c r="G164" s="60">
        <v>50</v>
      </c>
      <c r="H164" s="60"/>
      <c r="I164" s="60" t="s">
        <v>399</v>
      </c>
      <c r="J164" s="60"/>
      <c r="K164" s="53">
        <v>2400</v>
      </c>
      <c r="L164" s="19">
        <f t="shared" si="14"/>
        <v>0</v>
      </c>
      <c r="M164" s="19">
        <f t="shared" si="15"/>
        <v>0</v>
      </c>
      <c r="N164" s="19">
        <f t="shared" si="16"/>
        <v>0</v>
      </c>
      <c r="O164" s="19">
        <f t="shared" si="17"/>
        <v>0</v>
      </c>
      <c r="P164" s="48"/>
      <c r="Q164" s="47"/>
    </row>
    <row r="165" spans="1:17">
      <c r="A165" s="155" t="s">
        <v>232</v>
      </c>
      <c r="B165" s="244">
        <v>0</v>
      </c>
      <c r="C165" s="80">
        <v>990</v>
      </c>
      <c r="D165" s="60">
        <v>1320</v>
      </c>
      <c r="E165" s="101">
        <v>1155</v>
      </c>
      <c r="F165" s="60"/>
      <c r="G165" s="60">
        <v>50</v>
      </c>
      <c r="H165" s="60"/>
      <c r="I165" s="60" t="s">
        <v>399</v>
      </c>
      <c r="J165" s="60"/>
      <c r="K165" s="53">
        <v>2400</v>
      </c>
      <c r="L165" s="19">
        <f t="shared" si="14"/>
        <v>0</v>
      </c>
      <c r="M165" s="19">
        <f t="shared" si="15"/>
        <v>0</v>
      </c>
      <c r="N165" s="19">
        <f t="shared" si="16"/>
        <v>0</v>
      </c>
      <c r="O165" s="19">
        <f t="shared" si="17"/>
        <v>0</v>
      </c>
      <c r="P165" s="48" t="s">
        <v>88</v>
      </c>
      <c r="Q165" s="47"/>
    </row>
    <row r="166" spans="1:17">
      <c r="A166" s="155" t="s">
        <v>233</v>
      </c>
      <c r="B166" s="244">
        <v>0</v>
      </c>
      <c r="C166" s="62">
        <v>1125</v>
      </c>
      <c r="D166" s="60">
        <v>1500</v>
      </c>
      <c r="E166" s="101">
        <v>1313</v>
      </c>
      <c r="F166" s="60"/>
      <c r="G166" s="60">
        <v>50</v>
      </c>
      <c r="H166" s="60"/>
      <c r="I166" s="60" t="s">
        <v>399</v>
      </c>
      <c r="J166" s="60"/>
      <c r="K166" s="53">
        <v>2400</v>
      </c>
      <c r="L166" s="19">
        <f t="shared" si="14"/>
        <v>0</v>
      </c>
      <c r="M166" s="19">
        <f t="shared" si="15"/>
        <v>0</v>
      </c>
      <c r="N166" s="19">
        <f t="shared" si="16"/>
        <v>0</v>
      </c>
      <c r="O166" s="19">
        <f t="shared" si="17"/>
        <v>0</v>
      </c>
      <c r="P166" s="48"/>
      <c r="Q166" s="47"/>
    </row>
    <row r="167" spans="1:17">
      <c r="A167" s="155" t="s">
        <v>234</v>
      </c>
      <c r="B167" s="244">
        <v>0</v>
      </c>
      <c r="C167" s="62">
        <v>1125</v>
      </c>
      <c r="D167" s="60">
        <v>1500</v>
      </c>
      <c r="E167" s="101">
        <v>1313</v>
      </c>
      <c r="F167" s="60"/>
      <c r="G167" s="60">
        <v>50</v>
      </c>
      <c r="H167" s="60"/>
      <c r="I167" s="60" t="s">
        <v>399</v>
      </c>
      <c r="J167" s="60"/>
      <c r="K167" s="53">
        <v>2400</v>
      </c>
      <c r="L167" s="19">
        <f t="shared" si="14"/>
        <v>0</v>
      </c>
      <c r="M167" s="19">
        <f t="shared" si="15"/>
        <v>0</v>
      </c>
      <c r="N167" s="19">
        <f t="shared" si="16"/>
        <v>0</v>
      </c>
      <c r="O167" s="19">
        <f t="shared" si="17"/>
        <v>0</v>
      </c>
      <c r="P167" s="48"/>
      <c r="Q167" s="47"/>
    </row>
    <row r="168" spans="1:17">
      <c r="A168" s="157" t="s">
        <v>235</v>
      </c>
      <c r="B168" s="244">
        <v>0</v>
      </c>
      <c r="C168" s="62">
        <v>1995</v>
      </c>
      <c r="D168" s="60">
        <v>1700</v>
      </c>
      <c r="E168" s="101">
        <v>1838</v>
      </c>
      <c r="F168" s="60"/>
      <c r="G168" s="60">
        <v>50</v>
      </c>
      <c r="H168" s="60"/>
      <c r="I168" s="60" t="s">
        <v>399</v>
      </c>
      <c r="J168" s="60"/>
      <c r="K168" s="53">
        <v>2400</v>
      </c>
      <c r="L168" s="19">
        <f t="shared" si="14"/>
        <v>0</v>
      </c>
      <c r="M168" s="19">
        <f t="shared" si="15"/>
        <v>0</v>
      </c>
      <c r="N168" s="19">
        <f t="shared" si="16"/>
        <v>0</v>
      </c>
      <c r="O168" s="19">
        <f t="shared" si="17"/>
        <v>0</v>
      </c>
      <c r="P168" s="48"/>
      <c r="Q168" s="47"/>
    </row>
    <row r="169" spans="1:17">
      <c r="A169" s="157" t="s">
        <v>236</v>
      </c>
      <c r="B169" s="244">
        <v>0</v>
      </c>
      <c r="C169" s="62">
        <v>1840</v>
      </c>
      <c r="D169" s="60">
        <v>1920</v>
      </c>
      <c r="E169" s="101">
        <v>1280</v>
      </c>
      <c r="F169" s="60"/>
      <c r="G169" s="60">
        <v>50</v>
      </c>
      <c r="H169" s="60"/>
      <c r="I169" s="60" t="s">
        <v>399</v>
      </c>
      <c r="J169" s="60"/>
      <c r="K169" s="53">
        <v>2400</v>
      </c>
      <c r="L169" s="19">
        <f t="shared" si="14"/>
        <v>0</v>
      </c>
      <c r="M169" s="19">
        <f t="shared" si="15"/>
        <v>0</v>
      </c>
      <c r="N169" s="19">
        <f t="shared" si="16"/>
        <v>0</v>
      </c>
      <c r="O169" s="19">
        <f t="shared" si="17"/>
        <v>0</v>
      </c>
      <c r="P169" s="48" t="s">
        <v>88</v>
      </c>
      <c r="Q169" s="47"/>
    </row>
    <row r="170" spans="1:17">
      <c r="A170" s="157" t="s">
        <v>237</v>
      </c>
      <c r="B170" s="244">
        <v>0</v>
      </c>
      <c r="C170" s="62">
        <v>1800</v>
      </c>
      <c r="D170" s="60">
        <v>2000</v>
      </c>
      <c r="E170" s="101">
        <v>1800</v>
      </c>
      <c r="F170" s="60"/>
      <c r="G170" s="60">
        <v>50</v>
      </c>
      <c r="H170" s="60"/>
      <c r="I170" s="60" t="s">
        <v>399</v>
      </c>
      <c r="J170" s="60"/>
      <c r="K170" s="53">
        <v>2400</v>
      </c>
      <c r="L170" s="19">
        <f t="shared" si="14"/>
        <v>0</v>
      </c>
      <c r="M170" s="19">
        <f t="shared" si="15"/>
        <v>0</v>
      </c>
      <c r="N170" s="19">
        <f t="shared" si="16"/>
        <v>0</v>
      </c>
      <c r="O170" s="19">
        <f t="shared" si="17"/>
        <v>0</v>
      </c>
      <c r="P170" s="48"/>
      <c r="Q170" s="47"/>
    </row>
    <row r="171" spans="1:17">
      <c r="A171" s="157" t="s">
        <v>238</v>
      </c>
      <c r="B171" s="244">
        <v>0</v>
      </c>
      <c r="C171" s="62">
        <v>1700</v>
      </c>
      <c r="D171" s="60">
        <v>1800</v>
      </c>
      <c r="E171" s="101">
        <v>1575</v>
      </c>
      <c r="F171" s="60"/>
      <c r="G171" s="60">
        <v>50</v>
      </c>
      <c r="H171" s="60"/>
      <c r="I171" s="60" t="s">
        <v>398</v>
      </c>
      <c r="J171" s="60"/>
      <c r="K171" s="53">
        <v>2400</v>
      </c>
      <c r="L171" s="19">
        <f t="shared" si="14"/>
        <v>0</v>
      </c>
      <c r="M171" s="19">
        <f t="shared" si="15"/>
        <v>0</v>
      </c>
      <c r="N171" s="19">
        <f t="shared" si="16"/>
        <v>0</v>
      </c>
      <c r="O171" s="19">
        <f t="shared" si="17"/>
        <v>0</v>
      </c>
      <c r="P171" s="48" t="s">
        <v>88</v>
      </c>
      <c r="Q171" s="47"/>
    </row>
    <row r="172" spans="1:17">
      <c r="A172" s="158" t="s">
        <v>239</v>
      </c>
      <c r="B172" s="244">
        <v>0</v>
      </c>
      <c r="C172" s="62">
        <v>3000</v>
      </c>
      <c r="D172" s="60">
        <v>2000</v>
      </c>
      <c r="E172" s="101">
        <v>2625</v>
      </c>
      <c r="F172" s="60">
        <v>68</v>
      </c>
      <c r="G172" s="60">
        <v>50</v>
      </c>
      <c r="H172" s="60"/>
      <c r="I172" s="60" t="s">
        <v>399</v>
      </c>
      <c r="J172" s="60"/>
      <c r="K172" s="53">
        <v>2400</v>
      </c>
      <c r="L172" s="19">
        <f t="shared" si="14"/>
        <v>0</v>
      </c>
      <c r="M172" s="19">
        <f t="shared" si="15"/>
        <v>0</v>
      </c>
      <c r="N172" s="19">
        <f t="shared" si="16"/>
        <v>0</v>
      </c>
      <c r="O172" s="19">
        <f t="shared" si="17"/>
        <v>0</v>
      </c>
      <c r="P172" s="48" t="s">
        <v>88</v>
      </c>
      <c r="Q172" s="47" t="s">
        <v>210</v>
      </c>
    </row>
    <row r="173" spans="1:17">
      <c r="A173" s="158" t="s">
        <v>240</v>
      </c>
      <c r="B173" s="244">
        <v>0</v>
      </c>
      <c r="C173" s="62">
        <v>1900</v>
      </c>
      <c r="D173" s="60">
        <v>1200</v>
      </c>
      <c r="E173" s="101">
        <v>4050</v>
      </c>
      <c r="F173" s="60">
        <v>260</v>
      </c>
      <c r="G173" s="60">
        <v>50</v>
      </c>
      <c r="H173" s="60"/>
      <c r="I173" s="60" t="s">
        <v>399</v>
      </c>
      <c r="J173" s="60"/>
      <c r="K173" s="53">
        <v>2400</v>
      </c>
      <c r="L173" s="19">
        <f t="shared" si="14"/>
        <v>0</v>
      </c>
      <c r="M173" s="19">
        <f t="shared" si="15"/>
        <v>0</v>
      </c>
      <c r="N173" s="19">
        <f t="shared" si="16"/>
        <v>0</v>
      </c>
      <c r="O173" s="19">
        <f>$B173*K173</f>
        <v>0</v>
      </c>
      <c r="P173" s="48" t="s">
        <v>91</v>
      </c>
      <c r="Q173" s="47" t="s">
        <v>241</v>
      </c>
    </row>
    <row r="174" spans="1:17" ht="15.75" thickBot="1">
      <c r="A174" s="159" t="s">
        <v>242</v>
      </c>
      <c r="B174" s="245">
        <v>0</v>
      </c>
      <c r="C174" s="62">
        <v>6000</v>
      </c>
      <c r="D174" s="60">
        <v>4000</v>
      </c>
      <c r="E174" s="101">
        <v>5000</v>
      </c>
      <c r="F174" s="60"/>
      <c r="G174" s="60">
        <v>50</v>
      </c>
      <c r="H174" s="60"/>
      <c r="I174" s="60" t="s">
        <v>399</v>
      </c>
      <c r="J174" s="60"/>
      <c r="K174" s="53">
        <v>2400</v>
      </c>
      <c r="L174" s="21">
        <f t="shared" si="14"/>
        <v>0</v>
      </c>
      <c r="M174" s="21">
        <f t="shared" si="15"/>
        <v>0</v>
      </c>
      <c r="N174" s="21">
        <f t="shared" si="16"/>
        <v>0</v>
      </c>
      <c r="O174" s="21">
        <f>$B174*K174</f>
        <v>0</v>
      </c>
      <c r="P174" s="55" t="s">
        <v>104</v>
      </c>
      <c r="Q174" s="51"/>
    </row>
    <row r="175" spans="1:17">
      <c r="A175" s="154" t="s">
        <v>903</v>
      </c>
      <c r="B175" s="243">
        <v>0</v>
      </c>
      <c r="C175" s="39">
        <v>1000</v>
      </c>
      <c r="D175" s="40">
        <v>680</v>
      </c>
      <c r="E175" s="52">
        <v>1305</v>
      </c>
      <c r="F175" s="40"/>
      <c r="G175" s="70">
        <v>35</v>
      </c>
      <c r="H175" s="70">
        <v>60</v>
      </c>
      <c r="I175" s="70" t="s">
        <v>401</v>
      </c>
      <c r="J175" s="40"/>
      <c r="K175" s="52">
        <v>1300</v>
      </c>
      <c r="L175" s="42">
        <f t="shared" ref="L175:L217" si="18">$B175*C175</f>
        <v>0</v>
      </c>
      <c r="M175" s="42">
        <f t="shared" si="15"/>
        <v>0</v>
      </c>
      <c r="N175" s="42">
        <f t="shared" si="16"/>
        <v>0</v>
      </c>
      <c r="O175" s="42">
        <f t="shared" ref="O175:O217" si="19">$B175*K175</f>
        <v>0</v>
      </c>
      <c r="P175" s="38"/>
      <c r="Q175" s="44"/>
    </row>
    <row r="176" spans="1:17">
      <c r="A176" s="155" t="s">
        <v>243</v>
      </c>
      <c r="B176" s="244">
        <v>0</v>
      </c>
      <c r="C176" s="62">
        <v>1850</v>
      </c>
      <c r="D176" s="45">
        <v>450</v>
      </c>
      <c r="E176" s="101">
        <v>1431</v>
      </c>
      <c r="F176" s="60"/>
      <c r="G176" s="60">
        <v>100</v>
      </c>
      <c r="H176" s="60"/>
      <c r="I176" s="60" t="s">
        <v>401</v>
      </c>
      <c r="J176" s="60">
        <v>75</v>
      </c>
      <c r="K176" s="53">
        <v>1300</v>
      </c>
      <c r="L176" s="19">
        <f t="shared" si="18"/>
        <v>0</v>
      </c>
      <c r="M176" s="19">
        <f t="shared" si="15"/>
        <v>0</v>
      </c>
      <c r="N176" s="19">
        <f t="shared" si="16"/>
        <v>0</v>
      </c>
      <c r="O176" s="19">
        <f t="shared" si="19"/>
        <v>0</v>
      </c>
      <c r="P176" s="48" t="s">
        <v>88</v>
      </c>
      <c r="Q176" s="47"/>
    </row>
    <row r="177" spans="1:17">
      <c r="A177" s="155" t="s">
        <v>244</v>
      </c>
      <c r="B177" s="244">
        <v>0</v>
      </c>
      <c r="C177" s="62">
        <v>1250</v>
      </c>
      <c r="D177" s="45">
        <v>850</v>
      </c>
      <c r="E177" s="101">
        <v>1631</v>
      </c>
      <c r="F177" s="60"/>
      <c r="G177" s="60">
        <v>100</v>
      </c>
      <c r="H177" s="60"/>
      <c r="I177" s="60" t="s">
        <v>401</v>
      </c>
      <c r="J177" s="60"/>
      <c r="K177" s="53">
        <v>1300</v>
      </c>
      <c r="L177" s="19">
        <f t="shared" si="18"/>
        <v>0</v>
      </c>
      <c r="M177" s="19">
        <f t="shared" si="15"/>
        <v>0</v>
      </c>
      <c r="N177" s="19">
        <f t="shared" si="16"/>
        <v>0</v>
      </c>
      <c r="O177" s="19">
        <f t="shared" si="19"/>
        <v>0</v>
      </c>
      <c r="P177" s="48"/>
      <c r="Q177" s="47"/>
    </row>
    <row r="178" spans="1:17">
      <c r="A178" s="155" t="s">
        <v>245</v>
      </c>
      <c r="B178" s="244">
        <v>0</v>
      </c>
      <c r="C178" s="62">
        <v>1450</v>
      </c>
      <c r="D178" s="45">
        <v>950</v>
      </c>
      <c r="E178" s="101">
        <v>1231</v>
      </c>
      <c r="F178" s="60"/>
      <c r="G178" s="60">
        <v>100</v>
      </c>
      <c r="H178" s="60"/>
      <c r="I178" s="60" t="s">
        <v>401</v>
      </c>
      <c r="J178" s="60"/>
      <c r="K178" s="53">
        <v>1300</v>
      </c>
      <c r="L178" s="19">
        <f t="shared" si="18"/>
        <v>0</v>
      </c>
      <c r="M178" s="19">
        <f t="shared" si="15"/>
        <v>0</v>
      </c>
      <c r="N178" s="19">
        <f t="shared" si="16"/>
        <v>0</v>
      </c>
      <c r="O178" s="19">
        <f t="shared" si="19"/>
        <v>0</v>
      </c>
      <c r="P178" s="48"/>
      <c r="Q178" s="47"/>
    </row>
    <row r="179" spans="1:17">
      <c r="A179" s="155" t="s">
        <v>246</v>
      </c>
      <c r="B179" s="244">
        <v>0</v>
      </c>
      <c r="C179" s="62">
        <v>1150</v>
      </c>
      <c r="D179" s="45">
        <v>782</v>
      </c>
      <c r="E179" s="101">
        <v>1501</v>
      </c>
      <c r="F179" s="60"/>
      <c r="G179" s="60">
        <v>100</v>
      </c>
      <c r="H179" s="60"/>
      <c r="I179" s="60" t="s">
        <v>401</v>
      </c>
      <c r="J179" s="60"/>
      <c r="K179" s="53">
        <v>1300</v>
      </c>
      <c r="L179" s="19">
        <f t="shared" si="18"/>
        <v>0</v>
      </c>
      <c r="M179" s="19">
        <f t="shared" si="15"/>
        <v>0</v>
      </c>
      <c r="N179" s="19">
        <f t="shared" si="16"/>
        <v>0</v>
      </c>
      <c r="O179" s="19">
        <f t="shared" si="19"/>
        <v>0</v>
      </c>
      <c r="P179" s="48"/>
      <c r="Q179" s="47"/>
    </row>
    <row r="180" spans="1:17">
      <c r="A180" s="155" t="s">
        <v>247</v>
      </c>
      <c r="B180" s="244">
        <v>0</v>
      </c>
      <c r="C180" s="62">
        <v>1450</v>
      </c>
      <c r="D180" s="45">
        <v>850</v>
      </c>
      <c r="E180" s="101">
        <v>1431</v>
      </c>
      <c r="F180" s="60"/>
      <c r="G180" s="60">
        <v>100</v>
      </c>
      <c r="H180" s="60"/>
      <c r="I180" s="60" t="s">
        <v>401</v>
      </c>
      <c r="J180" s="60"/>
      <c r="K180" s="53">
        <v>1300</v>
      </c>
      <c r="L180" s="19">
        <f t="shared" si="18"/>
        <v>0</v>
      </c>
      <c r="M180" s="19">
        <f t="shared" si="15"/>
        <v>0</v>
      </c>
      <c r="N180" s="19">
        <f t="shared" si="16"/>
        <v>0</v>
      </c>
      <c r="O180" s="19">
        <f t="shared" si="19"/>
        <v>0</v>
      </c>
      <c r="P180" s="48"/>
      <c r="Q180" s="47"/>
    </row>
    <row r="181" spans="1:17">
      <c r="A181" s="155" t="s">
        <v>248</v>
      </c>
      <c r="B181" s="244">
        <v>0</v>
      </c>
      <c r="C181" s="62">
        <v>1050</v>
      </c>
      <c r="D181" s="60">
        <v>1050</v>
      </c>
      <c r="E181" s="101">
        <v>1631</v>
      </c>
      <c r="F181" s="60"/>
      <c r="G181" s="60">
        <v>100</v>
      </c>
      <c r="H181" s="60"/>
      <c r="I181" s="60" t="s">
        <v>401</v>
      </c>
      <c r="J181" s="60"/>
      <c r="K181" s="53">
        <v>1300</v>
      </c>
      <c r="L181" s="19">
        <f t="shared" si="18"/>
        <v>0</v>
      </c>
      <c r="M181" s="19">
        <f t="shared" si="15"/>
        <v>0</v>
      </c>
      <c r="N181" s="19">
        <f t="shared" si="16"/>
        <v>0</v>
      </c>
      <c r="O181" s="19">
        <f t="shared" si="19"/>
        <v>0</v>
      </c>
      <c r="P181" s="48"/>
      <c r="Q181" s="47"/>
    </row>
    <row r="182" spans="1:17">
      <c r="A182" s="157" t="s">
        <v>249</v>
      </c>
      <c r="B182" s="244">
        <v>0</v>
      </c>
      <c r="C182" s="62">
        <v>1750</v>
      </c>
      <c r="D182" s="60">
        <v>1190</v>
      </c>
      <c r="E182" s="101">
        <v>2284</v>
      </c>
      <c r="F182" s="60"/>
      <c r="G182" s="60">
        <v>100</v>
      </c>
      <c r="H182" s="60"/>
      <c r="I182" s="60" t="s">
        <v>401</v>
      </c>
      <c r="J182" s="60"/>
      <c r="K182" s="53">
        <v>1300</v>
      </c>
      <c r="L182" s="19">
        <f t="shared" si="18"/>
        <v>0</v>
      </c>
      <c r="M182" s="19">
        <f t="shared" si="15"/>
        <v>0</v>
      </c>
      <c r="N182" s="19">
        <f t="shared" si="16"/>
        <v>0</v>
      </c>
      <c r="O182" s="19">
        <f t="shared" si="19"/>
        <v>0</v>
      </c>
      <c r="P182" s="48"/>
      <c r="Q182" s="47"/>
    </row>
    <row r="183" spans="1:17">
      <c r="A183" s="157" t="s">
        <v>250</v>
      </c>
      <c r="B183" s="244">
        <v>0</v>
      </c>
      <c r="C183" s="62">
        <v>1750</v>
      </c>
      <c r="D183" s="60">
        <v>1190</v>
      </c>
      <c r="E183" s="101">
        <v>2284</v>
      </c>
      <c r="F183" s="60">
        <v>270</v>
      </c>
      <c r="G183" s="60">
        <v>100</v>
      </c>
      <c r="H183" s="60"/>
      <c r="I183" s="60" t="s">
        <v>401</v>
      </c>
      <c r="J183" s="60"/>
      <c r="K183" s="53">
        <v>1300</v>
      </c>
      <c r="L183" s="19">
        <f t="shared" si="18"/>
        <v>0</v>
      </c>
      <c r="M183" s="19">
        <f t="shared" si="15"/>
        <v>0</v>
      </c>
      <c r="N183" s="19">
        <f t="shared" si="16"/>
        <v>0</v>
      </c>
      <c r="O183" s="19">
        <f t="shared" si="19"/>
        <v>0</v>
      </c>
      <c r="P183" s="48"/>
      <c r="Q183" s="47" t="s">
        <v>251</v>
      </c>
    </row>
    <row r="184" spans="1:17">
      <c r="A184" s="157" t="s">
        <v>252</v>
      </c>
      <c r="B184" s="244">
        <v>0</v>
      </c>
      <c r="C184" s="62">
        <v>2500</v>
      </c>
      <c r="D184" s="45">
        <v>900</v>
      </c>
      <c r="E184" s="101">
        <v>2284</v>
      </c>
      <c r="F184" s="60"/>
      <c r="G184" s="60">
        <v>100</v>
      </c>
      <c r="H184" s="60"/>
      <c r="I184" s="60" t="s">
        <v>401</v>
      </c>
      <c r="J184" s="60"/>
      <c r="K184" s="53">
        <v>1300</v>
      </c>
      <c r="L184" s="19">
        <f t="shared" si="18"/>
        <v>0</v>
      </c>
      <c r="M184" s="19">
        <f t="shared" si="15"/>
        <v>0</v>
      </c>
      <c r="N184" s="19">
        <f t="shared" si="16"/>
        <v>0</v>
      </c>
      <c r="O184" s="19">
        <f t="shared" si="19"/>
        <v>0</v>
      </c>
      <c r="P184" s="48"/>
      <c r="Q184" s="47"/>
    </row>
    <row r="185" spans="1:17">
      <c r="A185" s="157" t="s">
        <v>253</v>
      </c>
      <c r="B185" s="244">
        <v>0</v>
      </c>
      <c r="C185" s="62">
        <v>1600</v>
      </c>
      <c r="D185" s="60">
        <v>1088</v>
      </c>
      <c r="E185" s="101">
        <v>2088</v>
      </c>
      <c r="F185" s="60"/>
      <c r="G185" s="60">
        <v>100</v>
      </c>
      <c r="H185" s="60"/>
      <c r="I185" s="60" t="s">
        <v>401</v>
      </c>
      <c r="J185" s="60"/>
      <c r="K185" s="53">
        <v>1300</v>
      </c>
      <c r="L185" s="19">
        <f t="shared" si="18"/>
        <v>0</v>
      </c>
      <c r="M185" s="19">
        <f t="shared" si="15"/>
        <v>0</v>
      </c>
      <c r="N185" s="19">
        <f t="shared" si="16"/>
        <v>0</v>
      </c>
      <c r="O185" s="19">
        <f t="shared" si="19"/>
        <v>0</v>
      </c>
      <c r="P185" s="48"/>
      <c r="Q185" s="47"/>
    </row>
    <row r="186" spans="1:17">
      <c r="A186" s="158" t="s">
        <v>254</v>
      </c>
      <c r="B186" s="244">
        <v>0</v>
      </c>
      <c r="C186" s="80">
        <v>800</v>
      </c>
      <c r="D186" s="60">
        <v>1800</v>
      </c>
      <c r="E186" s="101">
        <v>5000</v>
      </c>
      <c r="F186" s="60">
        <v>240</v>
      </c>
      <c r="G186" s="60">
        <v>100</v>
      </c>
      <c r="H186" s="60"/>
      <c r="I186" s="60" t="s">
        <v>401</v>
      </c>
      <c r="J186" s="60"/>
      <c r="K186" s="53">
        <v>1300</v>
      </c>
      <c r="L186" s="19">
        <f t="shared" si="18"/>
        <v>0</v>
      </c>
      <c r="M186" s="19">
        <f t="shared" si="15"/>
        <v>0</v>
      </c>
      <c r="N186" s="19">
        <f t="shared" si="16"/>
        <v>0</v>
      </c>
      <c r="O186" s="19">
        <f t="shared" si="19"/>
        <v>0</v>
      </c>
      <c r="P186" s="48"/>
      <c r="Q186" s="47" t="s">
        <v>255</v>
      </c>
    </row>
    <row r="187" spans="1:17">
      <c r="A187" s="158" t="s">
        <v>256</v>
      </c>
      <c r="B187" s="244">
        <v>0</v>
      </c>
      <c r="C187" s="62">
        <v>5500</v>
      </c>
      <c r="D187" s="60">
        <v>1200</v>
      </c>
      <c r="E187" s="101">
        <v>1263</v>
      </c>
      <c r="F187" s="60"/>
      <c r="G187" s="60">
        <v>100</v>
      </c>
      <c r="H187" s="60"/>
      <c r="I187" s="60" t="s">
        <v>401</v>
      </c>
      <c r="J187" s="60"/>
      <c r="K187" s="53">
        <v>1300</v>
      </c>
      <c r="L187" s="19">
        <f t="shared" si="18"/>
        <v>0</v>
      </c>
      <c r="M187" s="19">
        <f t="shared" si="15"/>
        <v>0</v>
      </c>
      <c r="N187" s="19">
        <f t="shared" si="16"/>
        <v>0</v>
      </c>
      <c r="O187" s="19">
        <f t="shared" si="19"/>
        <v>0</v>
      </c>
      <c r="P187" s="48"/>
      <c r="Q187" s="47"/>
    </row>
    <row r="188" spans="1:17" ht="15.75" thickBot="1">
      <c r="A188" s="159" t="s">
        <v>257</v>
      </c>
      <c r="B188" s="245">
        <v>0</v>
      </c>
      <c r="C188" s="63">
        <v>5000</v>
      </c>
      <c r="D188" s="59">
        <v>3400</v>
      </c>
      <c r="E188" s="102">
        <v>6525</v>
      </c>
      <c r="F188" s="59"/>
      <c r="G188" s="59">
        <v>100</v>
      </c>
      <c r="H188" s="59"/>
      <c r="I188" s="59" t="s">
        <v>401</v>
      </c>
      <c r="J188" s="59"/>
      <c r="K188" s="53">
        <v>1300</v>
      </c>
      <c r="L188" s="21">
        <f t="shared" si="18"/>
        <v>0</v>
      </c>
      <c r="M188" s="21">
        <f t="shared" si="15"/>
        <v>0</v>
      </c>
      <c r="N188" s="21">
        <f t="shared" si="16"/>
        <v>0</v>
      </c>
      <c r="O188" s="21">
        <f t="shared" si="19"/>
        <v>0</v>
      </c>
      <c r="P188" s="55"/>
      <c r="Q188" s="51"/>
    </row>
    <row r="189" spans="1:17">
      <c r="A189" s="154" t="s">
        <v>904</v>
      </c>
      <c r="B189" s="243">
        <v>0</v>
      </c>
      <c r="C189" s="168">
        <v>750</v>
      </c>
      <c r="D189" s="169">
        <v>800</v>
      </c>
      <c r="E189" s="170">
        <v>1050</v>
      </c>
      <c r="F189" s="168">
        <v>150</v>
      </c>
      <c r="G189" s="70">
        <v>40</v>
      </c>
      <c r="H189" s="70"/>
      <c r="I189" s="70" t="s">
        <v>401</v>
      </c>
      <c r="J189" s="169">
        <v>50</v>
      </c>
      <c r="K189" s="52">
        <v>1500</v>
      </c>
      <c r="L189" s="42">
        <f t="shared" si="18"/>
        <v>0</v>
      </c>
      <c r="M189" s="42">
        <f t="shared" si="15"/>
        <v>0</v>
      </c>
      <c r="N189" s="42">
        <f t="shared" si="16"/>
        <v>0</v>
      </c>
      <c r="O189" s="42">
        <f t="shared" si="19"/>
        <v>0</v>
      </c>
      <c r="P189" s="48"/>
      <c r="Q189" s="47" t="s">
        <v>210</v>
      </c>
    </row>
    <row r="190" spans="1:17">
      <c r="A190" s="155" t="s">
        <v>596</v>
      </c>
      <c r="B190" s="244">
        <v>0</v>
      </c>
      <c r="C190" s="80">
        <v>1100</v>
      </c>
      <c r="D190" s="45">
        <v>1000</v>
      </c>
      <c r="E190" s="99">
        <v>1550</v>
      </c>
      <c r="F190" s="80">
        <v>700</v>
      </c>
      <c r="G190" s="60">
        <v>60</v>
      </c>
      <c r="H190" s="60"/>
      <c r="I190" s="60" t="s">
        <v>401</v>
      </c>
      <c r="J190" s="45">
        <v>50</v>
      </c>
      <c r="K190" s="53">
        <v>1500</v>
      </c>
      <c r="L190" s="19">
        <f t="shared" si="18"/>
        <v>0</v>
      </c>
      <c r="M190" s="19">
        <f t="shared" si="15"/>
        <v>0</v>
      </c>
      <c r="N190" s="19">
        <f t="shared" si="16"/>
        <v>0</v>
      </c>
      <c r="O190" s="19">
        <f t="shared" si="19"/>
        <v>0</v>
      </c>
      <c r="P190" s="48"/>
      <c r="Q190" s="47" t="s">
        <v>344</v>
      </c>
    </row>
    <row r="191" spans="1:17">
      <c r="A191" s="157" t="s">
        <v>597</v>
      </c>
      <c r="B191" s="244">
        <v>0</v>
      </c>
      <c r="C191" s="80">
        <v>1650</v>
      </c>
      <c r="D191" s="45">
        <v>1300</v>
      </c>
      <c r="E191" s="99">
        <v>1950</v>
      </c>
      <c r="F191" s="80">
        <v>400</v>
      </c>
      <c r="G191" s="60">
        <v>60</v>
      </c>
      <c r="H191" s="60"/>
      <c r="I191" s="60" t="s">
        <v>401</v>
      </c>
      <c r="J191" s="45">
        <v>50</v>
      </c>
      <c r="K191" s="53">
        <v>1500</v>
      </c>
      <c r="L191" s="19">
        <f t="shared" si="18"/>
        <v>0</v>
      </c>
      <c r="M191" s="19">
        <f t="shared" si="15"/>
        <v>0</v>
      </c>
      <c r="N191" s="19">
        <f t="shared" si="16"/>
        <v>0</v>
      </c>
      <c r="O191" s="19">
        <f t="shared" si="19"/>
        <v>0</v>
      </c>
      <c r="P191" s="48"/>
      <c r="Q191" s="47" t="s">
        <v>255</v>
      </c>
    </row>
    <row r="192" spans="1:17">
      <c r="A192" s="158" t="s">
        <v>598</v>
      </c>
      <c r="B192" s="244">
        <v>0</v>
      </c>
      <c r="C192" s="80">
        <v>6000</v>
      </c>
      <c r="D192" s="45">
        <v>3300</v>
      </c>
      <c r="E192" s="99">
        <v>5200</v>
      </c>
      <c r="F192" s="80"/>
      <c r="G192" s="60">
        <v>60</v>
      </c>
      <c r="H192" s="60"/>
      <c r="I192" s="60" t="s">
        <v>401</v>
      </c>
      <c r="J192" s="45">
        <v>50</v>
      </c>
      <c r="K192" s="53">
        <v>1500</v>
      </c>
      <c r="L192" s="19">
        <f t="shared" si="18"/>
        <v>0</v>
      </c>
      <c r="M192" s="19">
        <f t="shared" si="15"/>
        <v>0</v>
      </c>
      <c r="N192" s="19">
        <f t="shared" si="16"/>
        <v>0</v>
      </c>
      <c r="O192" s="19">
        <f t="shared" si="19"/>
        <v>0</v>
      </c>
      <c r="P192" s="48"/>
      <c r="Q192" s="47"/>
    </row>
    <row r="193" spans="1:17" ht="15.75" thickBot="1">
      <c r="A193" s="159" t="s">
        <v>599</v>
      </c>
      <c r="B193" s="245">
        <v>0</v>
      </c>
      <c r="C193" s="81">
        <v>8500</v>
      </c>
      <c r="D193" s="49">
        <v>4600</v>
      </c>
      <c r="E193" s="100">
        <v>11000</v>
      </c>
      <c r="F193" s="81">
        <v>130</v>
      </c>
      <c r="G193" s="59">
        <v>60</v>
      </c>
      <c r="H193" s="59"/>
      <c r="I193" s="59" t="s">
        <v>401</v>
      </c>
      <c r="J193" s="49">
        <v>50</v>
      </c>
      <c r="K193" s="54">
        <v>1500</v>
      </c>
      <c r="L193" s="19">
        <f t="shared" si="18"/>
        <v>0</v>
      </c>
      <c r="M193" s="21">
        <f t="shared" si="15"/>
        <v>0</v>
      </c>
      <c r="N193" s="21">
        <f t="shared" si="16"/>
        <v>0</v>
      </c>
      <c r="O193" s="21">
        <f t="shared" si="19"/>
        <v>0</v>
      </c>
      <c r="P193" s="48"/>
      <c r="Q193" s="47" t="s">
        <v>600</v>
      </c>
    </row>
    <row r="194" spans="1:17">
      <c r="A194" s="154" t="s">
        <v>905</v>
      </c>
      <c r="B194" s="243">
        <v>0</v>
      </c>
      <c r="C194" s="39">
        <v>1400</v>
      </c>
      <c r="D194" s="40">
        <v>1500</v>
      </c>
      <c r="E194" s="52">
        <v>750</v>
      </c>
      <c r="F194" s="39"/>
      <c r="G194" s="70">
        <v>40</v>
      </c>
      <c r="H194" s="70">
        <v>80</v>
      </c>
      <c r="I194" s="70" t="s">
        <v>401</v>
      </c>
      <c r="J194" s="40">
        <v>55</v>
      </c>
      <c r="K194" s="52">
        <v>2000</v>
      </c>
      <c r="L194" s="42">
        <f t="shared" si="18"/>
        <v>0</v>
      </c>
      <c r="M194" s="42">
        <f t="shared" si="15"/>
        <v>0</v>
      </c>
      <c r="N194" s="42">
        <f t="shared" si="16"/>
        <v>0</v>
      </c>
      <c r="O194" s="42">
        <f t="shared" si="19"/>
        <v>0</v>
      </c>
      <c r="P194" s="38"/>
      <c r="Q194" s="44"/>
    </row>
    <row r="195" spans="1:17">
      <c r="A195" s="155" t="s">
        <v>262</v>
      </c>
      <c r="B195" s="244">
        <v>0</v>
      </c>
      <c r="C195" s="80">
        <v>850</v>
      </c>
      <c r="D195" s="60">
        <v>1275</v>
      </c>
      <c r="E195" s="101">
        <v>1238</v>
      </c>
      <c r="F195" s="62"/>
      <c r="G195" s="60">
        <v>90</v>
      </c>
      <c r="H195" s="60"/>
      <c r="I195" s="60" t="s">
        <v>401</v>
      </c>
      <c r="J195" s="60">
        <v>55</v>
      </c>
      <c r="K195" s="53">
        <v>2000</v>
      </c>
      <c r="L195" s="19">
        <f t="shared" si="18"/>
        <v>0</v>
      </c>
      <c r="M195" s="19">
        <f t="shared" si="15"/>
        <v>0</v>
      </c>
      <c r="N195" s="19">
        <f t="shared" si="16"/>
        <v>0</v>
      </c>
      <c r="O195" s="19">
        <f t="shared" si="19"/>
        <v>0</v>
      </c>
      <c r="P195" s="48"/>
      <c r="Q195" s="47"/>
    </row>
    <row r="196" spans="1:17">
      <c r="A196" s="155" t="s">
        <v>263</v>
      </c>
      <c r="B196" s="244">
        <v>0</v>
      </c>
      <c r="C196" s="80">
        <v>586</v>
      </c>
      <c r="D196" s="60">
        <v>1235</v>
      </c>
      <c r="E196" s="101">
        <v>1118</v>
      </c>
      <c r="F196" s="62"/>
      <c r="G196" s="60">
        <v>90</v>
      </c>
      <c r="H196" s="60"/>
      <c r="I196" s="60" t="s">
        <v>398</v>
      </c>
      <c r="J196" s="60"/>
      <c r="K196" s="53">
        <v>2000</v>
      </c>
      <c r="L196" s="19">
        <f t="shared" si="18"/>
        <v>0</v>
      </c>
      <c r="M196" s="19">
        <f t="shared" si="15"/>
        <v>0</v>
      </c>
      <c r="N196" s="19">
        <f t="shared" si="16"/>
        <v>0</v>
      </c>
      <c r="O196" s="19">
        <f t="shared" si="19"/>
        <v>0</v>
      </c>
      <c r="P196" s="48"/>
      <c r="Q196" s="47"/>
    </row>
    <row r="197" spans="1:17">
      <c r="A197" s="155" t="s">
        <v>264</v>
      </c>
      <c r="B197" s="244">
        <v>0</v>
      </c>
      <c r="C197" s="62">
        <v>1540</v>
      </c>
      <c r="D197" s="60">
        <v>1650</v>
      </c>
      <c r="E197" s="99">
        <v>825</v>
      </c>
      <c r="F197" s="80"/>
      <c r="G197" s="60">
        <v>90</v>
      </c>
      <c r="H197" s="60"/>
      <c r="I197" s="60" t="s">
        <v>401</v>
      </c>
      <c r="J197" s="45"/>
      <c r="K197" s="53">
        <v>2000</v>
      </c>
      <c r="L197" s="19">
        <f t="shared" si="18"/>
        <v>0</v>
      </c>
      <c r="M197" s="19">
        <f t="shared" si="15"/>
        <v>0</v>
      </c>
      <c r="N197" s="19">
        <f t="shared" si="16"/>
        <v>0</v>
      </c>
      <c r="O197" s="19">
        <f t="shared" si="19"/>
        <v>0</v>
      </c>
      <c r="P197" s="48"/>
      <c r="Q197" s="47"/>
    </row>
    <row r="198" spans="1:17">
      <c r="A198" s="155" t="s">
        <v>265</v>
      </c>
      <c r="B198" s="244">
        <v>0</v>
      </c>
      <c r="C198" s="62">
        <v>1750</v>
      </c>
      <c r="D198" s="60">
        <v>1875</v>
      </c>
      <c r="E198" s="99">
        <v>938</v>
      </c>
      <c r="F198" s="80"/>
      <c r="G198" s="60">
        <v>90</v>
      </c>
      <c r="H198" s="60"/>
      <c r="I198" s="60" t="s">
        <v>401</v>
      </c>
      <c r="J198" s="45"/>
      <c r="K198" s="53">
        <v>2000</v>
      </c>
      <c r="L198" s="19">
        <f t="shared" si="18"/>
        <v>0</v>
      </c>
      <c r="M198" s="19">
        <f t="shared" si="15"/>
        <v>0</v>
      </c>
      <c r="N198" s="19">
        <f t="shared" si="16"/>
        <v>0</v>
      </c>
      <c r="O198" s="19">
        <f t="shared" si="19"/>
        <v>0</v>
      </c>
      <c r="P198" s="48"/>
      <c r="Q198" s="47"/>
    </row>
    <row r="199" spans="1:17">
      <c r="A199" s="155" t="s">
        <v>266</v>
      </c>
      <c r="B199" s="244">
        <v>0</v>
      </c>
      <c r="C199" s="62">
        <v>1700</v>
      </c>
      <c r="D199" s="60">
        <v>1800</v>
      </c>
      <c r="E199" s="101">
        <v>1000</v>
      </c>
      <c r="F199" s="62"/>
      <c r="G199" s="60">
        <v>90</v>
      </c>
      <c r="H199" s="60"/>
      <c r="I199" s="60" t="s">
        <v>401</v>
      </c>
      <c r="J199" s="60"/>
      <c r="K199" s="53">
        <v>2000</v>
      </c>
      <c r="L199" s="19">
        <f t="shared" si="18"/>
        <v>0</v>
      </c>
      <c r="M199" s="19">
        <f t="shared" si="15"/>
        <v>0</v>
      </c>
      <c r="N199" s="19">
        <f t="shared" si="16"/>
        <v>0</v>
      </c>
      <c r="O199" s="19">
        <f t="shared" si="19"/>
        <v>0</v>
      </c>
      <c r="P199" s="48"/>
      <c r="Q199" s="47"/>
    </row>
    <row r="200" spans="1:17">
      <c r="A200" s="155" t="s">
        <v>267</v>
      </c>
      <c r="B200" s="244">
        <v>0</v>
      </c>
      <c r="C200" s="62">
        <v>1100</v>
      </c>
      <c r="D200" s="60">
        <v>2475</v>
      </c>
      <c r="E200" s="101">
        <v>1000</v>
      </c>
      <c r="F200" s="62"/>
      <c r="G200" s="60">
        <v>90</v>
      </c>
      <c r="H200" s="60"/>
      <c r="I200" s="60" t="s">
        <v>401</v>
      </c>
      <c r="J200" s="60"/>
      <c r="K200" s="53">
        <v>2000</v>
      </c>
      <c r="L200" s="19">
        <f t="shared" si="18"/>
        <v>0</v>
      </c>
      <c r="M200" s="19">
        <f t="shared" si="15"/>
        <v>0</v>
      </c>
      <c r="N200" s="19">
        <f t="shared" si="16"/>
        <v>0</v>
      </c>
      <c r="O200" s="19">
        <f t="shared" si="19"/>
        <v>0</v>
      </c>
      <c r="P200" s="48"/>
      <c r="Q200" s="47"/>
    </row>
    <row r="201" spans="1:17">
      <c r="A201" s="157" t="s">
        <v>268</v>
      </c>
      <c r="B201" s="244">
        <v>0</v>
      </c>
      <c r="C201" s="62">
        <v>2450</v>
      </c>
      <c r="D201" s="60">
        <v>2625</v>
      </c>
      <c r="E201" s="101">
        <v>1313</v>
      </c>
      <c r="F201" s="62">
        <v>272</v>
      </c>
      <c r="G201" s="60">
        <v>90</v>
      </c>
      <c r="H201" s="60"/>
      <c r="I201" s="60" t="s">
        <v>401</v>
      </c>
      <c r="J201" s="60"/>
      <c r="K201" s="53">
        <v>2000</v>
      </c>
      <c r="L201" s="19">
        <f t="shared" si="18"/>
        <v>0</v>
      </c>
      <c r="M201" s="19">
        <f t="shared" si="15"/>
        <v>0</v>
      </c>
      <c r="N201" s="19">
        <f t="shared" si="16"/>
        <v>0</v>
      </c>
      <c r="O201" s="19">
        <f t="shared" si="19"/>
        <v>0</v>
      </c>
      <c r="P201" s="48"/>
      <c r="Q201" s="47" t="s">
        <v>210</v>
      </c>
    </row>
    <row r="202" spans="1:17">
      <c r="A202" s="157" t="s">
        <v>269</v>
      </c>
      <c r="B202" s="244">
        <v>0</v>
      </c>
      <c r="C202" s="62">
        <v>1372</v>
      </c>
      <c r="D202" s="60">
        <v>1470</v>
      </c>
      <c r="E202" s="99">
        <v>735</v>
      </c>
      <c r="F202" s="80">
        <v>405</v>
      </c>
      <c r="G202" s="60">
        <v>90</v>
      </c>
      <c r="H202" s="60"/>
      <c r="I202" s="60" t="s">
        <v>398</v>
      </c>
      <c r="J202" s="45"/>
      <c r="K202" s="53">
        <v>2000</v>
      </c>
      <c r="L202" s="19">
        <f t="shared" si="18"/>
        <v>0</v>
      </c>
      <c r="M202" s="19">
        <f t="shared" si="15"/>
        <v>0</v>
      </c>
      <c r="N202" s="19">
        <f t="shared" si="16"/>
        <v>0</v>
      </c>
      <c r="O202" s="19">
        <f t="shared" si="19"/>
        <v>0</v>
      </c>
      <c r="P202" s="48" t="s">
        <v>88</v>
      </c>
      <c r="Q202" s="47" t="s">
        <v>270</v>
      </c>
    </row>
    <row r="203" spans="1:17">
      <c r="A203" s="157" t="s">
        <v>271</v>
      </c>
      <c r="B203" s="244">
        <v>0</v>
      </c>
      <c r="C203" s="62">
        <v>2800</v>
      </c>
      <c r="D203" s="60">
        <v>3000</v>
      </c>
      <c r="E203" s="101">
        <v>1500</v>
      </c>
      <c r="F203" s="62"/>
      <c r="G203" s="60">
        <v>90</v>
      </c>
      <c r="H203" s="60"/>
      <c r="I203" s="60" t="s">
        <v>401</v>
      </c>
      <c r="J203" s="60"/>
      <c r="K203" s="53">
        <v>2000</v>
      </c>
      <c r="L203" s="19">
        <f t="shared" si="18"/>
        <v>0</v>
      </c>
      <c r="M203" s="19">
        <f t="shared" si="15"/>
        <v>0</v>
      </c>
      <c r="N203" s="19">
        <f t="shared" si="16"/>
        <v>0</v>
      </c>
      <c r="O203" s="19">
        <f t="shared" si="19"/>
        <v>0</v>
      </c>
      <c r="P203" s="48"/>
      <c r="Q203" s="47"/>
    </row>
    <row r="204" spans="1:17">
      <c r="A204" s="157" t="s">
        <v>272</v>
      </c>
      <c r="B204" s="244">
        <v>0</v>
      </c>
      <c r="C204" s="80">
        <v>400</v>
      </c>
      <c r="D204" s="60">
        <v>1500</v>
      </c>
      <c r="E204" s="101">
        <v>3000</v>
      </c>
      <c r="F204" s="62"/>
      <c r="G204" s="60">
        <v>90</v>
      </c>
      <c r="H204" s="60"/>
      <c r="I204" s="60" t="s">
        <v>402</v>
      </c>
      <c r="J204" s="60"/>
      <c r="K204" s="53">
        <v>2000</v>
      </c>
      <c r="L204" s="19">
        <f t="shared" si="18"/>
        <v>0</v>
      </c>
      <c r="M204" s="19">
        <f t="shared" si="15"/>
        <v>0</v>
      </c>
      <c r="N204" s="19">
        <f t="shared" si="16"/>
        <v>0</v>
      </c>
      <c r="O204" s="19">
        <f t="shared" si="19"/>
        <v>0</v>
      </c>
      <c r="P204" s="48"/>
      <c r="Q204" s="47"/>
    </row>
    <row r="205" spans="1:17">
      <c r="A205" s="158" t="s">
        <v>273</v>
      </c>
      <c r="B205" s="244">
        <v>0</v>
      </c>
      <c r="C205" s="62">
        <v>3500</v>
      </c>
      <c r="D205" s="60">
        <v>3750</v>
      </c>
      <c r="E205" s="101">
        <v>1875</v>
      </c>
      <c r="F205" s="62"/>
      <c r="G205" s="60">
        <v>90</v>
      </c>
      <c r="H205" s="60"/>
      <c r="I205" s="60" t="s">
        <v>398</v>
      </c>
      <c r="J205" s="60"/>
      <c r="K205" s="53">
        <v>2000</v>
      </c>
      <c r="L205" s="19">
        <f t="shared" si="18"/>
        <v>0</v>
      </c>
      <c r="M205" s="19">
        <f t="shared" si="15"/>
        <v>0</v>
      </c>
      <c r="N205" s="19">
        <f t="shared" si="16"/>
        <v>0</v>
      </c>
      <c r="O205" s="19">
        <f t="shared" si="19"/>
        <v>0</v>
      </c>
      <c r="P205" s="48"/>
      <c r="Q205" s="47"/>
    </row>
    <row r="206" spans="1:17">
      <c r="A206" s="158" t="s">
        <v>274</v>
      </c>
      <c r="B206" s="244">
        <v>0</v>
      </c>
      <c r="C206" s="80">
        <v>100</v>
      </c>
      <c r="D206" s="60">
        <v>3250</v>
      </c>
      <c r="E206" s="101">
        <v>4000</v>
      </c>
      <c r="F206" s="62">
        <v>600</v>
      </c>
      <c r="G206" s="60">
        <v>90</v>
      </c>
      <c r="H206" s="60"/>
      <c r="I206" s="60" t="s">
        <v>401</v>
      </c>
      <c r="J206" s="60"/>
      <c r="K206" s="53">
        <v>2000</v>
      </c>
      <c r="L206" s="19">
        <f t="shared" si="18"/>
        <v>0</v>
      </c>
      <c r="M206" s="19">
        <f t="shared" si="15"/>
        <v>0</v>
      </c>
      <c r="N206" s="19">
        <f t="shared" si="16"/>
        <v>0</v>
      </c>
      <c r="O206" s="19">
        <f t="shared" si="19"/>
        <v>0</v>
      </c>
      <c r="P206" s="48" t="s">
        <v>88</v>
      </c>
      <c r="Q206" s="47" t="s">
        <v>275</v>
      </c>
    </row>
    <row r="207" spans="1:17" ht="15.75" thickBot="1">
      <c r="A207" s="159" t="s">
        <v>276</v>
      </c>
      <c r="B207" s="245">
        <v>0</v>
      </c>
      <c r="C207" s="63">
        <v>6300</v>
      </c>
      <c r="D207" s="59">
        <v>6750</v>
      </c>
      <c r="E207" s="102">
        <v>3375</v>
      </c>
      <c r="F207" s="63"/>
      <c r="G207" s="59">
        <v>90</v>
      </c>
      <c r="H207" s="59"/>
      <c r="I207" s="59" t="s">
        <v>401</v>
      </c>
      <c r="J207" s="59"/>
      <c r="K207" s="54">
        <v>2000</v>
      </c>
      <c r="L207" s="21">
        <f t="shared" si="18"/>
        <v>0</v>
      </c>
      <c r="M207" s="21">
        <f t="shared" si="15"/>
        <v>0</v>
      </c>
      <c r="N207" s="21">
        <f t="shared" si="16"/>
        <v>0</v>
      </c>
      <c r="O207" s="21">
        <f t="shared" si="19"/>
        <v>0</v>
      </c>
      <c r="P207" s="55" t="s">
        <v>91</v>
      </c>
      <c r="Q207" s="51"/>
    </row>
    <row r="208" spans="1:17">
      <c r="A208" s="154" t="s">
        <v>906</v>
      </c>
      <c r="B208" s="243">
        <v>0</v>
      </c>
      <c r="C208" s="168">
        <v>1100</v>
      </c>
      <c r="D208" s="169">
        <v>1500</v>
      </c>
      <c r="E208" s="170">
        <v>3200</v>
      </c>
      <c r="F208" s="169"/>
      <c r="G208" s="70">
        <v>50</v>
      </c>
      <c r="H208" s="70"/>
      <c r="I208" s="70" t="s">
        <v>401</v>
      </c>
      <c r="J208" s="169">
        <v>50</v>
      </c>
      <c r="K208" s="52">
        <v>2500</v>
      </c>
      <c r="L208" s="42">
        <f t="shared" si="18"/>
        <v>0</v>
      </c>
      <c r="M208" s="42">
        <f t="shared" si="15"/>
        <v>0</v>
      </c>
      <c r="N208" s="42">
        <f t="shared" si="16"/>
        <v>0</v>
      </c>
      <c r="O208" s="42">
        <f t="shared" si="19"/>
        <v>0</v>
      </c>
      <c r="P208" s="48"/>
      <c r="Q208" s="48"/>
    </row>
    <row r="209" spans="1:17">
      <c r="A209" s="155" t="s">
        <v>601</v>
      </c>
      <c r="B209" s="244">
        <v>0</v>
      </c>
      <c r="C209" s="80">
        <v>1600</v>
      </c>
      <c r="D209" s="45">
        <v>2200</v>
      </c>
      <c r="E209" s="99">
        <v>4800</v>
      </c>
      <c r="F209" s="45"/>
      <c r="G209" s="60">
        <v>60</v>
      </c>
      <c r="H209" s="60"/>
      <c r="I209" s="60" t="s">
        <v>401</v>
      </c>
      <c r="J209" s="45">
        <v>50</v>
      </c>
      <c r="K209" s="53">
        <v>2500</v>
      </c>
      <c r="L209" s="19">
        <f t="shared" si="18"/>
        <v>0</v>
      </c>
      <c r="M209" s="19">
        <f t="shared" si="15"/>
        <v>0</v>
      </c>
      <c r="N209" s="19">
        <f t="shared" si="16"/>
        <v>0</v>
      </c>
      <c r="O209" s="19">
        <f t="shared" si="19"/>
        <v>0</v>
      </c>
      <c r="P209" s="48"/>
      <c r="Q209" s="48"/>
    </row>
    <row r="210" spans="1:17">
      <c r="A210" s="157" t="s">
        <v>602</v>
      </c>
      <c r="B210" s="244">
        <v>0</v>
      </c>
      <c r="C210" s="80">
        <v>2200</v>
      </c>
      <c r="D210" s="45">
        <v>3000</v>
      </c>
      <c r="E210" s="99">
        <v>6400</v>
      </c>
      <c r="F210" s="45"/>
      <c r="G210" s="60">
        <v>60</v>
      </c>
      <c r="H210" s="60"/>
      <c r="I210" s="60" t="s">
        <v>401</v>
      </c>
      <c r="J210" s="45">
        <v>50</v>
      </c>
      <c r="K210" s="53">
        <v>2500</v>
      </c>
      <c r="L210" s="19">
        <f t="shared" si="18"/>
        <v>0</v>
      </c>
      <c r="M210" s="19">
        <f t="shared" si="15"/>
        <v>0</v>
      </c>
      <c r="N210" s="19">
        <f t="shared" si="16"/>
        <v>0</v>
      </c>
      <c r="O210" s="19">
        <f t="shared" si="19"/>
        <v>0</v>
      </c>
      <c r="P210" s="48"/>
      <c r="Q210" s="48"/>
    </row>
    <row r="211" spans="1:17">
      <c r="A211" s="158" t="s">
        <v>440</v>
      </c>
      <c r="B211" s="244">
        <v>0</v>
      </c>
      <c r="C211" s="80">
        <v>3300</v>
      </c>
      <c r="D211" s="45">
        <v>4500</v>
      </c>
      <c r="E211" s="99">
        <v>9600</v>
      </c>
      <c r="F211" s="45"/>
      <c r="G211" s="60">
        <v>60</v>
      </c>
      <c r="H211" s="60"/>
      <c r="I211" s="60" t="s">
        <v>401</v>
      </c>
      <c r="J211" s="45">
        <v>50</v>
      </c>
      <c r="K211" s="53">
        <v>2500</v>
      </c>
      <c r="L211" s="19">
        <f t="shared" si="18"/>
        <v>0</v>
      </c>
      <c r="M211" s="19">
        <f t="shared" si="15"/>
        <v>0</v>
      </c>
      <c r="N211" s="19">
        <f t="shared" si="16"/>
        <v>0</v>
      </c>
      <c r="O211" s="19">
        <f t="shared" si="19"/>
        <v>0</v>
      </c>
      <c r="P211" s="48"/>
      <c r="Q211" s="48"/>
    </row>
    <row r="212" spans="1:17" ht="15.75" thickBot="1">
      <c r="A212" s="159" t="s">
        <v>603</v>
      </c>
      <c r="B212" s="245">
        <v>0</v>
      </c>
      <c r="C212" s="81">
        <v>4400</v>
      </c>
      <c r="D212" s="49">
        <v>6000</v>
      </c>
      <c r="E212" s="100">
        <v>12800</v>
      </c>
      <c r="F212" s="49"/>
      <c r="G212" s="59">
        <v>60</v>
      </c>
      <c r="H212" s="59"/>
      <c r="I212" s="59" t="s">
        <v>401</v>
      </c>
      <c r="J212" s="49">
        <v>50</v>
      </c>
      <c r="K212" s="53">
        <v>2500</v>
      </c>
      <c r="L212" s="19">
        <f t="shared" si="18"/>
        <v>0</v>
      </c>
      <c r="M212" s="21">
        <f t="shared" si="15"/>
        <v>0</v>
      </c>
      <c r="N212" s="21">
        <f t="shared" si="16"/>
        <v>0</v>
      </c>
      <c r="O212" s="21">
        <f t="shared" si="19"/>
        <v>0</v>
      </c>
      <c r="P212" s="48"/>
      <c r="Q212" s="48"/>
    </row>
    <row r="213" spans="1:17">
      <c r="A213" s="154" t="s">
        <v>907</v>
      </c>
      <c r="B213" s="243">
        <v>0</v>
      </c>
      <c r="C213" s="168">
        <v>600</v>
      </c>
      <c r="D213" s="169">
        <v>800</v>
      </c>
      <c r="E213" s="170">
        <v>1000</v>
      </c>
      <c r="F213" s="169">
        <v>300</v>
      </c>
      <c r="G213" s="70">
        <v>30</v>
      </c>
      <c r="H213" s="70"/>
      <c r="I213" s="70" t="s">
        <v>399</v>
      </c>
      <c r="J213" s="169">
        <v>1</v>
      </c>
      <c r="K213" s="52">
        <v>1800</v>
      </c>
      <c r="L213" s="41">
        <f t="shared" si="18"/>
        <v>0</v>
      </c>
      <c r="M213" s="42">
        <f t="shared" si="15"/>
        <v>0</v>
      </c>
      <c r="N213" s="42">
        <f t="shared" si="16"/>
        <v>0</v>
      </c>
      <c r="O213" s="43">
        <f t="shared" si="19"/>
        <v>0</v>
      </c>
      <c r="P213" s="172"/>
      <c r="Q213" s="172" t="s">
        <v>358</v>
      </c>
    </row>
    <row r="214" spans="1:17">
      <c r="A214" s="155" t="s">
        <v>624</v>
      </c>
      <c r="B214" s="244">
        <v>0</v>
      </c>
      <c r="C214" s="80">
        <v>600</v>
      </c>
      <c r="D214" s="45">
        <v>800</v>
      </c>
      <c r="E214" s="99">
        <v>1000</v>
      </c>
      <c r="F214" s="45">
        <v>300</v>
      </c>
      <c r="G214" s="60">
        <v>35</v>
      </c>
      <c r="H214" s="60"/>
      <c r="I214" s="60" t="s">
        <v>399</v>
      </c>
      <c r="J214" s="45"/>
      <c r="K214" s="53">
        <v>1800</v>
      </c>
      <c r="L214" s="46">
        <f t="shared" si="18"/>
        <v>0</v>
      </c>
      <c r="M214" s="19">
        <f t="shared" si="15"/>
        <v>0</v>
      </c>
      <c r="N214" s="19">
        <f t="shared" si="16"/>
        <v>0</v>
      </c>
      <c r="O214" s="20">
        <f t="shared" si="19"/>
        <v>0</v>
      </c>
      <c r="P214" s="47"/>
      <c r="Q214" s="47" t="s">
        <v>358</v>
      </c>
    </row>
    <row r="215" spans="1:17">
      <c r="A215" s="157" t="s">
        <v>625</v>
      </c>
      <c r="B215" s="244">
        <v>0</v>
      </c>
      <c r="C215" s="80">
        <v>4000</v>
      </c>
      <c r="D215" s="45">
        <v>4000</v>
      </c>
      <c r="E215" s="99">
        <v>5800</v>
      </c>
      <c r="F215" s="45"/>
      <c r="G215" s="60">
        <v>35</v>
      </c>
      <c r="H215" s="60"/>
      <c r="I215" s="60" t="s">
        <v>399</v>
      </c>
      <c r="J215" s="45"/>
      <c r="K215" s="53">
        <v>1800</v>
      </c>
      <c r="L215" s="46">
        <f t="shared" si="18"/>
        <v>0</v>
      </c>
      <c r="M215" s="19">
        <f t="shared" si="15"/>
        <v>0</v>
      </c>
      <c r="N215" s="19">
        <f t="shared" si="16"/>
        <v>0</v>
      </c>
      <c r="O215" s="20">
        <f t="shared" si="19"/>
        <v>0</v>
      </c>
      <c r="P215" s="47"/>
      <c r="Q215" s="47"/>
    </row>
    <row r="216" spans="1:17">
      <c r="A216" s="158" t="s">
        <v>626</v>
      </c>
      <c r="B216" s="244">
        <v>0</v>
      </c>
      <c r="C216" s="80">
        <v>1700</v>
      </c>
      <c r="D216" s="45">
        <v>1100</v>
      </c>
      <c r="E216" s="99">
        <v>1900</v>
      </c>
      <c r="F216" s="45">
        <v>500</v>
      </c>
      <c r="G216" s="60">
        <v>35</v>
      </c>
      <c r="H216" s="60"/>
      <c r="I216" s="60" t="s">
        <v>399</v>
      </c>
      <c r="J216" s="45"/>
      <c r="K216" s="53">
        <v>1800</v>
      </c>
      <c r="L216" s="46">
        <f t="shared" si="18"/>
        <v>0</v>
      </c>
      <c r="M216" s="19">
        <f t="shared" si="15"/>
        <v>0</v>
      </c>
      <c r="N216" s="19">
        <f t="shared" si="16"/>
        <v>0</v>
      </c>
      <c r="O216" s="20">
        <f t="shared" si="19"/>
        <v>0</v>
      </c>
      <c r="P216" s="47"/>
      <c r="Q216" s="47" t="s">
        <v>358</v>
      </c>
    </row>
    <row r="217" spans="1:17" ht="15.75" thickBot="1">
      <c r="A217" s="159" t="s">
        <v>627</v>
      </c>
      <c r="B217" s="245">
        <v>0</v>
      </c>
      <c r="C217" s="81">
        <v>3300</v>
      </c>
      <c r="D217" s="49">
        <v>1600</v>
      </c>
      <c r="E217" s="100">
        <v>7000</v>
      </c>
      <c r="F217" s="49">
        <v>3000</v>
      </c>
      <c r="G217" s="59">
        <v>35</v>
      </c>
      <c r="H217" s="59"/>
      <c r="I217" s="59" t="s">
        <v>399</v>
      </c>
      <c r="J217" s="49"/>
      <c r="K217" s="53">
        <v>1800</v>
      </c>
      <c r="L217" s="50">
        <f t="shared" si="18"/>
        <v>0</v>
      </c>
      <c r="M217" s="21">
        <f t="shared" si="15"/>
        <v>0</v>
      </c>
      <c r="N217" s="21">
        <f t="shared" si="16"/>
        <v>0</v>
      </c>
      <c r="O217" s="22">
        <f t="shared" si="19"/>
        <v>0</v>
      </c>
      <c r="P217" s="51"/>
      <c r="Q217" s="51" t="s">
        <v>358</v>
      </c>
    </row>
    <row r="218" spans="1:17">
      <c r="A218" s="154" t="s">
        <v>908</v>
      </c>
      <c r="B218" s="243">
        <v>0</v>
      </c>
      <c r="C218" s="168">
        <v>1600</v>
      </c>
      <c r="D218" s="169">
        <v>1300</v>
      </c>
      <c r="E218" s="170">
        <v>1800</v>
      </c>
      <c r="F218" s="169"/>
      <c r="G218" s="70">
        <v>60</v>
      </c>
      <c r="H218" s="70"/>
      <c r="I218" s="70" t="s">
        <v>403</v>
      </c>
      <c r="J218" s="169">
        <v>1</v>
      </c>
      <c r="K218" s="52">
        <v>3200</v>
      </c>
      <c r="L218" s="42">
        <f>$B218*C218</f>
        <v>0</v>
      </c>
      <c r="M218" s="42">
        <f t="shared" si="15"/>
        <v>0</v>
      </c>
      <c r="N218" s="42">
        <f t="shared" si="16"/>
        <v>0</v>
      </c>
      <c r="O218" s="42">
        <f>$B218*K218</f>
        <v>0</v>
      </c>
      <c r="P218" s="57"/>
      <c r="Q218" s="44"/>
    </row>
    <row r="219" spans="1:17">
      <c r="A219" s="155" t="s">
        <v>591</v>
      </c>
      <c r="B219" s="244">
        <v>0</v>
      </c>
      <c r="C219" s="80">
        <v>1800</v>
      </c>
      <c r="D219" s="45">
        <v>1500</v>
      </c>
      <c r="E219" s="99">
        <v>2200</v>
      </c>
      <c r="F219" s="45"/>
      <c r="G219" s="60">
        <v>120</v>
      </c>
      <c r="H219" s="60"/>
      <c r="I219" s="60" t="s">
        <v>403</v>
      </c>
      <c r="J219" s="45">
        <v>1</v>
      </c>
      <c r="K219" s="53">
        <v>3200</v>
      </c>
      <c r="L219" s="19">
        <f>$B219*C219</f>
        <v>0</v>
      </c>
      <c r="M219" s="19">
        <f t="shared" si="15"/>
        <v>0</v>
      </c>
      <c r="N219" s="19">
        <f t="shared" si="16"/>
        <v>0</v>
      </c>
      <c r="O219" s="19">
        <f>$B219*K219</f>
        <v>0</v>
      </c>
      <c r="P219" s="48"/>
      <c r="Q219" s="26"/>
    </row>
    <row r="220" spans="1:17">
      <c r="A220" s="157" t="s">
        <v>592</v>
      </c>
      <c r="B220" s="244">
        <v>0</v>
      </c>
      <c r="C220" s="80">
        <v>2500</v>
      </c>
      <c r="D220" s="45">
        <v>2100</v>
      </c>
      <c r="E220" s="99">
        <v>3100</v>
      </c>
      <c r="F220" s="45"/>
      <c r="G220" s="60">
        <v>120</v>
      </c>
      <c r="H220" s="60"/>
      <c r="I220" s="60" t="s">
        <v>403</v>
      </c>
      <c r="J220" s="45">
        <v>1</v>
      </c>
      <c r="K220" s="53">
        <v>3200</v>
      </c>
      <c r="L220" s="19">
        <f>$B220*C220</f>
        <v>0</v>
      </c>
      <c r="M220" s="19">
        <f t="shared" si="15"/>
        <v>0</v>
      </c>
      <c r="N220" s="19">
        <f t="shared" si="16"/>
        <v>0</v>
      </c>
      <c r="O220" s="19">
        <f>$B220*K220</f>
        <v>0</v>
      </c>
      <c r="P220" s="48"/>
      <c r="Q220" s="26"/>
    </row>
    <row r="221" spans="1:17">
      <c r="A221" s="158" t="s">
        <v>593</v>
      </c>
      <c r="B221" s="244">
        <v>0</v>
      </c>
      <c r="C221" s="80">
        <v>3300</v>
      </c>
      <c r="D221" s="45">
        <v>2800</v>
      </c>
      <c r="E221" s="99">
        <v>4800</v>
      </c>
      <c r="F221" s="45"/>
      <c r="G221" s="60">
        <v>120</v>
      </c>
      <c r="H221" s="60"/>
      <c r="I221" s="60" t="s">
        <v>403</v>
      </c>
      <c r="J221" s="45">
        <v>1</v>
      </c>
      <c r="K221" s="53">
        <v>3200</v>
      </c>
      <c r="L221" s="19">
        <f>$B221*C221</f>
        <v>0</v>
      </c>
      <c r="M221" s="19">
        <f t="shared" si="15"/>
        <v>0</v>
      </c>
      <c r="N221" s="19">
        <f t="shared" si="16"/>
        <v>0</v>
      </c>
      <c r="O221" s="19">
        <f>$B221*K221</f>
        <v>0</v>
      </c>
      <c r="P221" s="48"/>
      <c r="Q221" s="26"/>
    </row>
    <row r="222" spans="1:17" ht="15.75" thickBot="1">
      <c r="A222" s="159" t="s">
        <v>594</v>
      </c>
      <c r="B222" s="245">
        <v>0</v>
      </c>
      <c r="C222" s="81">
        <v>6600</v>
      </c>
      <c r="D222" s="49">
        <v>5200</v>
      </c>
      <c r="E222" s="100">
        <v>10200</v>
      </c>
      <c r="F222" s="49"/>
      <c r="G222" s="59">
        <v>120</v>
      </c>
      <c r="H222" s="59"/>
      <c r="I222" s="59" t="s">
        <v>403</v>
      </c>
      <c r="J222" s="49">
        <v>1</v>
      </c>
      <c r="K222" s="53">
        <v>3200</v>
      </c>
      <c r="L222" s="19">
        <f>$B222*C222</f>
        <v>0</v>
      </c>
      <c r="M222" s="21">
        <f t="shared" si="15"/>
        <v>0</v>
      </c>
      <c r="N222" s="21">
        <f t="shared" si="16"/>
        <v>0</v>
      </c>
      <c r="O222" s="21">
        <f>$B222*K222</f>
        <v>0</v>
      </c>
      <c r="P222" s="55"/>
      <c r="Q222" s="56"/>
    </row>
    <row r="223" spans="1:17">
      <c r="A223" s="154" t="s">
        <v>909</v>
      </c>
      <c r="B223" s="243">
        <v>0</v>
      </c>
      <c r="C223" s="39">
        <v>400</v>
      </c>
      <c r="D223" s="40">
        <v>400</v>
      </c>
      <c r="E223" s="52">
        <v>600</v>
      </c>
      <c r="F223" s="40"/>
      <c r="G223" s="70">
        <v>30</v>
      </c>
      <c r="H223" s="70"/>
      <c r="I223" s="70" t="s">
        <v>402</v>
      </c>
      <c r="J223" s="40">
        <v>1</v>
      </c>
      <c r="K223" s="52">
        <v>1500</v>
      </c>
      <c r="L223" s="42">
        <f t="shared" ref="L223:L254" si="20">$B223*C223</f>
        <v>0</v>
      </c>
      <c r="M223" s="42">
        <f t="shared" si="15"/>
        <v>0</v>
      </c>
      <c r="N223" s="42">
        <f t="shared" si="16"/>
        <v>0</v>
      </c>
      <c r="O223" s="42">
        <f t="shared" ref="O223:O254" si="21">$B223*K223</f>
        <v>0</v>
      </c>
      <c r="P223" s="57"/>
      <c r="Q223" s="172"/>
    </row>
    <row r="224" spans="1:17">
      <c r="A224" s="171" t="s">
        <v>569</v>
      </c>
      <c r="B224" s="244">
        <v>0</v>
      </c>
      <c r="C224" s="62">
        <v>400</v>
      </c>
      <c r="D224" s="60">
        <v>400</v>
      </c>
      <c r="E224" s="101">
        <v>600</v>
      </c>
      <c r="F224" s="60"/>
      <c r="G224" s="60">
        <v>30</v>
      </c>
      <c r="H224" s="60"/>
      <c r="I224" s="60" t="s">
        <v>402</v>
      </c>
      <c r="J224" s="60">
        <v>1</v>
      </c>
      <c r="K224" s="53">
        <v>1500</v>
      </c>
      <c r="L224" s="19">
        <f t="shared" si="20"/>
        <v>0</v>
      </c>
      <c r="M224" s="19">
        <f t="shared" si="15"/>
        <v>0</v>
      </c>
      <c r="N224" s="19">
        <f t="shared" si="16"/>
        <v>0</v>
      </c>
      <c r="O224" s="19">
        <f t="shared" si="21"/>
        <v>0</v>
      </c>
      <c r="P224" s="48"/>
      <c r="Q224" s="47"/>
    </row>
    <row r="225" spans="1:17">
      <c r="A225" s="171" t="s">
        <v>569</v>
      </c>
      <c r="B225" s="244">
        <v>0</v>
      </c>
      <c r="C225" s="62">
        <v>400</v>
      </c>
      <c r="D225" s="60">
        <v>400</v>
      </c>
      <c r="E225" s="101">
        <v>600</v>
      </c>
      <c r="F225" s="60"/>
      <c r="G225" s="60">
        <v>30</v>
      </c>
      <c r="H225" s="60"/>
      <c r="I225" s="60" t="s">
        <v>402</v>
      </c>
      <c r="J225" s="60">
        <v>1</v>
      </c>
      <c r="K225" s="53">
        <v>1500</v>
      </c>
      <c r="L225" s="19">
        <f t="shared" si="20"/>
        <v>0</v>
      </c>
      <c r="M225" s="19">
        <f t="shared" si="15"/>
        <v>0</v>
      </c>
      <c r="N225" s="19">
        <f t="shared" si="16"/>
        <v>0</v>
      </c>
      <c r="O225" s="19">
        <f t="shared" si="21"/>
        <v>0</v>
      </c>
      <c r="P225" s="48"/>
      <c r="Q225" s="47"/>
    </row>
    <row r="226" spans="1:17" ht="15.75" thickBot="1">
      <c r="A226" s="173" t="s">
        <v>569</v>
      </c>
      <c r="B226" s="245">
        <v>0</v>
      </c>
      <c r="C226" s="63">
        <v>400</v>
      </c>
      <c r="D226" s="59">
        <v>400</v>
      </c>
      <c r="E226" s="102">
        <v>600</v>
      </c>
      <c r="F226" s="59"/>
      <c r="G226" s="59">
        <v>30</v>
      </c>
      <c r="H226" s="59"/>
      <c r="I226" s="59" t="s">
        <v>402</v>
      </c>
      <c r="J226" s="59">
        <v>1</v>
      </c>
      <c r="K226" s="54">
        <v>1500</v>
      </c>
      <c r="L226" s="19">
        <f t="shared" si="20"/>
        <v>0</v>
      </c>
      <c r="M226" s="19">
        <f t="shared" si="15"/>
        <v>0</v>
      </c>
      <c r="N226" s="19">
        <f t="shared" si="16"/>
        <v>0</v>
      </c>
      <c r="O226" s="19">
        <f t="shared" si="21"/>
        <v>0</v>
      </c>
      <c r="P226" s="55"/>
      <c r="Q226" s="51"/>
    </row>
    <row r="227" spans="1:17">
      <c r="A227" s="154" t="s">
        <v>667</v>
      </c>
      <c r="B227" s="243">
        <v>0</v>
      </c>
      <c r="C227" s="82">
        <v>3500</v>
      </c>
      <c r="D227" s="83">
        <v>3500</v>
      </c>
      <c r="E227" s="85">
        <v>5000</v>
      </c>
      <c r="F227" s="82"/>
      <c r="G227" s="87">
        <v>75</v>
      </c>
      <c r="H227" s="87">
        <v>150</v>
      </c>
      <c r="I227" s="87" t="s">
        <v>396</v>
      </c>
      <c r="J227" s="83">
        <v>150</v>
      </c>
      <c r="K227" s="85">
        <v>4000</v>
      </c>
      <c r="L227" s="42">
        <f t="shared" si="20"/>
        <v>0</v>
      </c>
      <c r="M227" s="42">
        <f t="shared" si="15"/>
        <v>0</v>
      </c>
      <c r="N227" s="42">
        <f t="shared" si="16"/>
        <v>0</v>
      </c>
      <c r="O227" s="42">
        <f t="shared" si="21"/>
        <v>0</v>
      </c>
      <c r="P227" s="38"/>
      <c r="Q227" s="44"/>
    </row>
    <row r="228" spans="1:17">
      <c r="A228" s="155" t="s">
        <v>290</v>
      </c>
      <c r="B228" s="244">
        <v>0</v>
      </c>
      <c r="C228" s="88">
        <v>2000</v>
      </c>
      <c r="D228" s="84">
        <v>6200</v>
      </c>
      <c r="E228" s="103">
        <v>7000</v>
      </c>
      <c r="F228" s="88"/>
      <c r="G228" s="60">
        <v>300</v>
      </c>
      <c r="H228" s="60"/>
      <c r="I228" s="60" t="s">
        <v>396</v>
      </c>
      <c r="J228" s="84">
        <v>150</v>
      </c>
      <c r="K228" s="53">
        <v>4000</v>
      </c>
      <c r="L228" s="19">
        <f t="shared" si="20"/>
        <v>0</v>
      </c>
      <c r="M228" s="19">
        <f t="shared" si="15"/>
        <v>0</v>
      </c>
      <c r="N228" s="19">
        <f t="shared" si="16"/>
        <v>0</v>
      </c>
      <c r="O228" s="19">
        <f t="shared" si="21"/>
        <v>0</v>
      </c>
      <c r="P228" s="48"/>
      <c r="Q228" s="47"/>
    </row>
    <row r="229" spans="1:17">
      <c r="A229" s="155" t="s">
        <v>291</v>
      </c>
      <c r="B229" s="244">
        <v>0</v>
      </c>
      <c r="C229" s="88">
        <v>4400</v>
      </c>
      <c r="D229" s="84">
        <v>4400</v>
      </c>
      <c r="E229" s="103">
        <v>6200</v>
      </c>
      <c r="F229" s="88"/>
      <c r="G229" s="60">
        <v>300</v>
      </c>
      <c r="H229" s="60"/>
      <c r="I229" s="60" t="s">
        <v>396</v>
      </c>
      <c r="J229" s="84"/>
      <c r="K229" s="53">
        <v>4000</v>
      </c>
      <c r="L229" s="19">
        <f t="shared" si="20"/>
        <v>0</v>
      </c>
      <c r="M229" s="19">
        <f t="shared" si="15"/>
        <v>0</v>
      </c>
      <c r="N229" s="19">
        <f t="shared" si="16"/>
        <v>0</v>
      </c>
      <c r="O229" s="19">
        <f t="shared" si="21"/>
        <v>0</v>
      </c>
      <c r="P229" s="48"/>
      <c r="Q229" s="47"/>
    </row>
    <row r="230" spans="1:17">
      <c r="A230" s="155" t="s">
        <v>292</v>
      </c>
      <c r="B230" s="244">
        <v>0</v>
      </c>
      <c r="C230" s="88">
        <v>6500</v>
      </c>
      <c r="D230" s="84">
        <v>3500</v>
      </c>
      <c r="E230" s="103">
        <v>4000</v>
      </c>
      <c r="F230" s="88"/>
      <c r="G230" s="60">
        <v>300</v>
      </c>
      <c r="H230" s="60"/>
      <c r="I230" s="60" t="s">
        <v>396</v>
      </c>
      <c r="J230" s="84"/>
      <c r="K230" s="53">
        <v>4000</v>
      </c>
      <c r="L230" s="19">
        <f t="shared" si="20"/>
        <v>0</v>
      </c>
      <c r="M230" s="19">
        <f t="shared" si="15"/>
        <v>0</v>
      </c>
      <c r="N230" s="19">
        <f t="shared" si="16"/>
        <v>0</v>
      </c>
      <c r="O230" s="19">
        <f t="shared" si="21"/>
        <v>0</v>
      </c>
      <c r="P230" s="48"/>
      <c r="Q230" s="47"/>
    </row>
    <row r="231" spans="1:17">
      <c r="A231" s="155" t="s">
        <v>293</v>
      </c>
      <c r="B231" s="244">
        <v>0</v>
      </c>
      <c r="C231" s="88">
        <v>4500</v>
      </c>
      <c r="D231" s="84">
        <v>4500</v>
      </c>
      <c r="E231" s="103">
        <v>6000</v>
      </c>
      <c r="F231" s="88"/>
      <c r="G231" s="60">
        <v>300</v>
      </c>
      <c r="H231" s="60"/>
      <c r="I231" s="60" t="s">
        <v>396</v>
      </c>
      <c r="J231" s="84"/>
      <c r="K231" s="53">
        <v>4000</v>
      </c>
      <c r="L231" s="19">
        <f t="shared" si="20"/>
        <v>0</v>
      </c>
      <c r="M231" s="19">
        <f t="shared" si="15"/>
        <v>0</v>
      </c>
      <c r="N231" s="19">
        <f t="shared" si="16"/>
        <v>0</v>
      </c>
      <c r="O231" s="19">
        <f t="shared" si="21"/>
        <v>0</v>
      </c>
      <c r="P231" s="48"/>
      <c r="Q231" s="47"/>
    </row>
    <row r="232" spans="1:17">
      <c r="A232" s="155" t="s">
        <v>294</v>
      </c>
      <c r="B232" s="244">
        <v>0</v>
      </c>
      <c r="C232" s="88">
        <v>2500</v>
      </c>
      <c r="D232" s="84">
        <v>2500</v>
      </c>
      <c r="E232" s="103">
        <v>3000</v>
      </c>
      <c r="F232" s="88"/>
      <c r="G232" s="60">
        <v>300</v>
      </c>
      <c r="H232" s="60"/>
      <c r="I232" s="60" t="s">
        <v>396</v>
      </c>
      <c r="J232" s="84"/>
      <c r="K232" s="53">
        <v>4000</v>
      </c>
      <c r="L232" s="19">
        <f t="shared" si="20"/>
        <v>0</v>
      </c>
      <c r="M232" s="19">
        <f t="shared" si="15"/>
        <v>0</v>
      </c>
      <c r="N232" s="19">
        <f t="shared" si="16"/>
        <v>0</v>
      </c>
      <c r="O232" s="19">
        <f t="shared" si="21"/>
        <v>0</v>
      </c>
      <c r="P232" s="48"/>
      <c r="Q232" s="47"/>
    </row>
    <row r="233" spans="1:17">
      <c r="A233" s="157" t="s">
        <v>295</v>
      </c>
      <c r="B233" s="244">
        <v>0</v>
      </c>
      <c r="C233" s="88">
        <v>5500</v>
      </c>
      <c r="D233" s="84">
        <v>6500</v>
      </c>
      <c r="E233" s="103">
        <v>9000</v>
      </c>
      <c r="F233" s="88"/>
      <c r="G233" s="60">
        <v>300</v>
      </c>
      <c r="H233" s="60"/>
      <c r="I233" s="60" t="s">
        <v>396</v>
      </c>
      <c r="J233" s="84"/>
      <c r="K233" s="53">
        <v>4000</v>
      </c>
      <c r="L233" s="19">
        <f t="shared" si="20"/>
        <v>0</v>
      </c>
      <c r="M233" s="19">
        <f t="shared" si="15"/>
        <v>0</v>
      </c>
      <c r="N233" s="19">
        <f t="shared" si="16"/>
        <v>0</v>
      </c>
      <c r="O233" s="19">
        <f t="shared" si="21"/>
        <v>0</v>
      </c>
      <c r="P233" s="48"/>
      <c r="Q233" s="47"/>
    </row>
    <row r="234" spans="1:17">
      <c r="A234" s="157" t="s">
        <v>296</v>
      </c>
      <c r="B234" s="244">
        <v>0</v>
      </c>
      <c r="C234" s="88">
        <v>6000</v>
      </c>
      <c r="D234" s="84">
        <v>6000</v>
      </c>
      <c r="E234" s="103">
        <v>9000</v>
      </c>
      <c r="F234" s="88"/>
      <c r="G234" s="60">
        <v>300</v>
      </c>
      <c r="H234" s="60"/>
      <c r="I234" s="60" t="s">
        <v>396</v>
      </c>
      <c r="J234" s="84"/>
      <c r="K234" s="53">
        <v>4000</v>
      </c>
      <c r="L234" s="19">
        <f t="shared" si="20"/>
        <v>0</v>
      </c>
      <c r="M234" s="19">
        <f t="shared" si="15"/>
        <v>0</v>
      </c>
      <c r="N234" s="19">
        <f t="shared" si="16"/>
        <v>0</v>
      </c>
      <c r="O234" s="19">
        <f t="shared" si="21"/>
        <v>0</v>
      </c>
      <c r="P234" s="48"/>
      <c r="Q234" s="47"/>
    </row>
    <row r="235" spans="1:17">
      <c r="A235" s="157" t="s">
        <v>297</v>
      </c>
      <c r="B235" s="244">
        <v>0</v>
      </c>
      <c r="C235" s="88">
        <v>6000</v>
      </c>
      <c r="D235" s="84">
        <v>5500</v>
      </c>
      <c r="E235" s="103">
        <v>10000</v>
      </c>
      <c r="F235" s="88"/>
      <c r="G235" s="60">
        <v>300</v>
      </c>
      <c r="H235" s="60"/>
      <c r="I235" s="60" t="s">
        <v>396</v>
      </c>
      <c r="J235" s="84"/>
      <c r="K235" s="53">
        <v>4000</v>
      </c>
      <c r="L235" s="19">
        <f t="shared" si="20"/>
        <v>0</v>
      </c>
      <c r="M235" s="19">
        <f t="shared" si="15"/>
        <v>0</v>
      </c>
      <c r="N235" s="19">
        <f t="shared" si="16"/>
        <v>0</v>
      </c>
      <c r="O235" s="19">
        <f t="shared" si="21"/>
        <v>0</v>
      </c>
      <c r="P235" s="48"/>
      <c r="Q235" s="47"/>
    </row>
    <row r="236" spans="1:17">
      <c r="A236" s="157" t="s">
        <v>298</v>
      </c>
      <c r="B236" s="244">
        <v>0</v>
      </c>
      <c r="C236" s="88">
        <v>6500</v>
      </c>
      <c r="D236" s="84">
        <v>5000</v>
      </c>
      <c r="E236" s="103">
        <v>10000</v>
      </c>
      <c r="F236" s="88"/>
      <c r="G236" s="60">
        <v>300</v>
      </c>
      <c r="H236" s="60"/>
      <c r="I236" s="60" t="s">
        <v>396</v>
      </c>
      <c r="J236" s="84"/>
      <c r="K236" s="53">
        <v>4000</v>
      </c>
      <c r="L236" s="19">
        <f t="shared" si="20"/>
        <v>0</v>
      </c>
      <c r="M236" s="19">
        <f t="shared" si="15"/>
        <v>0</v>
      </c>
      <c r="N236" s="19">
        <f t="shared" si="16"/>
        <v>0</v>
      </c>
      <c r="O236" s="19">
        <f t="shared" si="21"/>
        <v>0</v>
      </c>
      <c r="P236" s="48"/>
      <c r="Q236" s="47"/>
    </row>
    <row r="237" spans="1:17">
      <c r="A237" s="158" t="s">
        <v>299</v>
      </c>
      <c r="B237" s="244">
        <v>0</v>
      </c>
      <c r="C237" s="88">
        <v>5000</v>
      </c>
      <c r="D237" s="84">
        <v>10000</v>
      </c>
      <c r="E237" s="103">
        <v>15000</v>
      </c>
      <c r="F237" s="88">
        <v>1960</v>
      </c>
      <c r="G237" s="60">
        <v>300</v>
      </c>
      <c r="H237" s="60"/>
      <c r="I237" s="60" t="s">
        <v>396</v>
      </c>
      <c r="J237" s="84"/>
      <c r="K237" s="53">
        <v>4000</v>
      </c>
      <c r="L237" s="19">
        <f t="shared" si="20"/>
        <v>0</v>
      </c>
      <c r="M237" s="19">
        <f t="shared" si="15"/>
        <v>0</v>
      </c>
      <c r="N237" s="19">
        <f t="shared" si="16"/>
        <v>0</v>
      </c>
      <c r="O237" s="19">
        <f t="shared" si="21"/>
        <v>0</v>
      </c>
      <c r="P237" s="48" t="s">
        <v>91</v>
      </c>
      <c r="Q237" s="47" t="s">
        <v>275</v>
      </c>
    </row>
    <row r="238" spans="1:17">
      <c r="A238" s="158" t="s">
        <v>300</v>
      </c>
      <c r="B238" s="244">
        <v>0</v>
      </c>
      <c r="C238" s="88">
        <v>9000</v>
      </c>
      <c r="D238" s="84">
        <v>9000</v>
      </c>
      <c r="E238" s="103">
        <v>12000</v>
      </c>
      <c r="F238" s="88"/>
      <c r="G238" s="60">
        <v>300</v>
      </c>
      <c r="H238" s="60"/>
      <c r="I238" s="60" t="s">
        <v>403</v>
      </c>
      <c r="J238" s="84"/>
      <c r="K238" s="53">
        <v>4000</v>
      </c>
      <c r="L238" s="19">
        <f t="shared" si="20"/>
        <v>0</v>
      </c>
      <c r="M238" s="19">
        <f t="shared" si="15"/>
        <v>0</v>
      </c>
      <c r="N238" s="19">
        <f t="shared" si="16"/>
        <v>0</v>
      </c>
      <c r="O238" s="19">
        <f t="shared" si="21"/>
        <v>0</v>
      </c>
      <c r="P238" s="48"/>
      <c r="Q238" s="47"/>
    </row>
    <row r="239" spans="1:17" ht="15.75" thickBot="1">
      <c r="A239" s="159" t="s">
        <v>301</v>
      </c>
      <c r="B239" s="245">
        <v>0</v>
      </c>
      <c r="C239" s="89">
        <v>18000</v>
      </c>
      <c r="D239" s="86">
        <v>17000</v>
      </c>
      <c r="E239" s="104">
        <v>25000</v>
      </c>
      <c r="F239" s="89"/>
      <c r="G239" s="86">
        <v>300</v>
      </c>
      <c r="H239" s="86"/>
      <c r="I239" s="86" t="s">
        <v>396</v>
      </c>
      <c r="J239" s="86"/>
      <c r="K239" s="54">
        <v>4000</v>
      </c>
      <c r="L239" s="21">
        <f t="shared" si="20"/>
        <v>0</v>
      </c>
      <c r="M239" s="21">
        <f t="shared" si="15"/>
        <v>0</v>
      </c>
      <c r="N239" s="21">
        <f t="shared" si="16"/>
        <v>0</v>
      </c>
      <c r="O239" s="21">
        <f t="shared" si="21"/>
        <v>0</v>
      </c>
      <c r="P239" s="55" t="s">
        <v>91</v>
      </c>
      <c r="Q239" s="51"/>
    </row>
    <row r="240" spans="1:17">
      <c r="A240" s="154" t="s">
        <v>910</v>
      </c>
      <c r="B240" s="243">
        <v>0</v>
      </c>
      <c r="C240" s="39">
        <v>1520</v>
      </c>
      <c r="D240" s="40">
        <v>1040</v>
      </c>
      <c r="E240" s="52">
        <v>970</v>
      </c>
      <c r="F240" s="40"/>
      <c r="G240" s="70">
        <v>35</v>
      </c>
      <c r="H240" s="70">
        <v>60</v>
      </c>
      <c r="I240" s="70" t="s">
        <v>396</v>
      </c>
      <c r="J240" s="40"/>
      <c r="K240" s="52">
        <v>2000</v>
      </c>
      <c r="L240" s="42">
        <f t="shared" si="20"/>
        <v>0</v>
      </c>
      <c r="M240" s="42">
        <f t="shared" si="15"/>
        <v>0</v>
      </c>
      <c r="N240" s="42">
        <f t="shared" si="16"/>
        <v>0</v>
      </c>
      <c r="O240" s="42">
        <f t="shared" si="21"/>
        <v>0</v>
      </c>
      <c r="P240" s="38"/>
      <c r="Q240" s="44"/>
    </row>
    <row r="241" spans="1:17">
      <c r="A241" s="155" t="s">
        <v>350</v>
      </c>
      <c r="B241" s="244">
        <v>0</v>
      </c>
      <c r="C241" s="62">
        <v>1900</v>
      </c>
      <c r="D241" s="60">
        <v>1300</v>
      </c>
      <c r="E241" s="101">
        <v>1200</v>
      </c>
      <c r="F241" s="60"/>
      <c r="G241" s="60">
        <v>105</v>
      </c>
      <c r="H241" s="60"/>
      <c r="I241" s="60" t="s">
        <v>396</v>
      </c>
      <c r="J241" s="60">
        <v>55</v>
      </c>
      <c r="K241" s="53">
        <v>2000</v>
      </c>
      <c r="L241" s="19">
        <f t="shared" si="20"/>
        <v>0</v>
      </c>
      <c r="M241" s="19">
        <f t="shared" si="15"/>
        <v>0</v>
      </c>
      <c r="N241" s="19">
        <f t="shared" si="16"/>
        <v>0</v>
      </c>
      <c r="O241" s="19">
        <f t="shared" si="21"/>
        <v>0</v>
      </c>
      <c r="P241" s="48"/>
      <c r="Q241" s="47"/>
    </row>
    <row r="242" spans="1:17" ht="15.75" thickBot="1">
      <c r="A242" s="651" t="s">
        <v>351</v>
      </c>
      <c r="B242" s="245">
        <v>0</v>
      </c>
      <c r="C242" s="63">
        <v>1500</v>
      </c>
      <c r="D242" s="59">
        <v>1800</v>
      </c>
      <c r="E242" s="102">
        <v>2200</v>
      </c>
      <c r="F242" s="59">
        <v>520</v>
      </c>
      <c r="G242" s="59">
        <v>105</v>
      </c>
      <c r="H242" s="59"/>
      <c r="I242" s="59" t="s">
        <v>396</v>
      </c>
      <c r="J242" s="59"/>
      <c r="K242" s="53">
        <v>2000</v>
      </c>
      <c r="L242" s="21">
        <f t="shared" si="20"/>
        <v>0</v>
      </c>
      <c r="M242" s="21">
        <f t="shared" si="15"/>
        <v>0</v>
      </c>
      <c r="N242" s="21">
        <f t="shared" si="16"/>
        <v>0</v>
      </c>
      <c r="O242" s="21">
        <f t="shared" si="21"/>
        <v>0</v>
      </c>
      <c r="P242" s="55"/>
      <c r="Q242" s="51" t="s">
        <v>344</v>
      </c>
    </row>
    <row r="243" spans="1:17">
      <c r="A243" s="154" t="s">
        <v>668</v>
      </c>
      <c r="B243" s="243">
        <v>0</v>
      </c>
      <c r="C243" s="69">
        <v>2500</v>
      </c>
      <c r="D243" s="70">
        <v>1700</v>
      </c>
      <c r="E243" s="105">
        <v>3050</v>
      </c>
      <c r="F243" s="70">
        <v>245</v>
      </c>
      <c r="G243" s="70">
        <v>60</v>
      </c>
      <c r="H243" s="70">
        <v>100</v>
      </c>
      <c r="I243" s="70" t="s">
        <v>400</v>
      </c>
      <c r="J243" s="70"/>
      <c r="K243" s="52">
        <v>3300</v>
      </c>
      <c r="L243" s="42">
        <f t="shared" si="20"/>
        <v>0</v>
      </c>
      <c r="M243" s="42">
        <f t="shared" si="15"/>
        <v>0</v>
      </c>
      <c r="N243" s="42">
        <f t="shared" si="16"/>
        <v>0</v>
      </c>
      <c r="O243" s="42">
        <f t="shared" si="21"/>
        <v>0</v>
      </c>
      <c r="P243" s="38"/>
      <c r="Q243" s="38" t="s">
        <v>241</v>
      </c>
    </row>
    <row r="244" spans="1:17">
      <c r="A244" s="155" t="s">
        <v>314</v>
      </c>
      <c r="B244" s="244">
        <v>0</v>
      </c>
      <c r="C244" s="62">
        <v>2500</v>
      </c>
      <c r="D244" s="60">
        <v>2700</v>
      </c>
      <c r="E244" s="101">
        <v>4050</v>
      </c>
      <c r="F244" s="60">
        <v>345</v>
      </c>
      <c r="G244" s="60">
        <v>85</v>
      </c>
      <c r="H244" s="60"/>
      <c r="I244" s="60" t="s">
        <v>400</v>
      </c>
      <c r="J244" s="60">
        <v>70</v>
      </c>
      <c r="K244" s="53">
        <v>3300</v>
      </c>
      <c r="L244" s="19">
        <f t="shared" si="20"/>
        <v>0</v>
      </c>
      <c r="M244" s="19">
        <f t="shared" si="15"/>
        <v>0</v>
      </c>
      <c r="N244" s="19">
        <f t="shared" si="16"/>
        <v>0</v>
      </c>
      <c r="O244" s="19">
        <f t="shared" si="21"/>
        <v>0</v>
      </c>
      <c r="P244" s="48" t="s">
        <v>88</v>
      </c>
      <c r="Q244" s="48" t="s">
        <v>315</v>
      </c>
    </row>
    <row r="245" spans="1:17">
      <c r="A245" s="155" t="s">
        <v>316</v>
      </c>
      <c r="B245" s="244">
        <v>0</v>
      </c>
      <c r="C245" s="62">
        <v>3500</v>
      </c>
      <c r="D245" s="60">
        <v>1700</v>
      </c>
      <c r="E245" s="101">
        <v>5050</v>
      </c>
      <c r="F245" s="60">
        <v>245</v>
      </c>
      <c r="G245" s="60">
        <v>85</v>
      </c>
      <c r="H245" s="60"/>
      <c r="I245" s="60" t="s">
        <v>400</v>
      </c>
      <c r="J245" s="60"/>
      <c r="K245" s="53">
        <v>3300</v>
      </c>
      <c r="L245" s="19">
        <f t="shared" si="20"/>
        <v>0</v>
      </c>
      <c r="M245" s="19">
        <f t="shared" si="15"/>
        <v>0</v>
      </c>
      <c r="N245" s="19">
        <f t="shared" si="16"/>
        <v>0</v>
      </c>
      <c r="O245" s="19">
        <f t="shared" si="21"/>
        <v>0</v>
      </c>
      <c r="P245" s="48"/>
      <c r="Q245" s="48"/>
    </row>
    <row r="246" spans="1:17">
      <c r="A246" s="157" t="s">
        <v>317</v>
      </c>
      <c r="B246" s="244">
        <v>0</v>
      </c>
      <c r="C246" s="62">
        <v>5500</v>
      </c>
      <c r="D246" s="60">
        <v>4000</v>
      </c>
      <c r="E246" s="101">
        <v>7500</v>
      </c>
      <c r="F246" s="60"/>
      <c r="G246" s="60">
        <v>85</v>
      </c>
      <c r="H246" s="60"/>
      <c r="I246" s="60" t="s">
        <v>400</v>
      </c>
      <c r="J246" s="60"/>
      <c r="K246" s="53">
        <v>3300</v>
      </c>
      <c r="L246" s="19">
        <f t="shared" si="20"/>
        <v>0</v>
      </c>
      <c r="M246" s="19">
        <f t="shared" si="15"/>
        <v>0</v>
      </c>
      <c r="N246" s="19">
        <f t="shared" si="16"/>
        <v>0</v>
      </c>
      <c r="O246" s="19">
        <f t="shared" si="21"/>
        <v>0</v>
      </c>
      <c r="P246" s="48" t="s">
        <v>88</v>
      </c>
      <c r="Q246" s="48"/>
    </row>
    <row r="247" spans="1:17">
      <c r="A247" s="157" t="s">
        <v>318</v>
      </c>
      <c r="B247" s="244">
        <v>0</v>
      </c>
      <c r="C247" s="62">
        <v>3500</v>
      </c>
      <c r="D247" s="60">
        <v>3700</v>
      </c>
      <c r="E247" s="101">
        <v>5050</v>
      </c>
      <c r="F247" s="60">
        <v>890</v>
      </c>
      <c r="G247" s="60">
        <v>85</v>
      </c>
      <c r="H247" s="60"/>
      <c r="I247" s="60" t="s">
        <v>400</v>
      </c>
      <c r="J247" s="60"/>
      <c r="K247" s="53">
        <v>3300</v>
      </c>
      <c r="L247" s="19">
        <f t="shared" si="20"/>
        <v>0</v>
      </c>
      <c r="M247" s="19">
        <f t="shared" si="15"/>
        <v>0</v>
      </c>
      <c r="N247" s="19">
        <f t="shared" si="16"/>
        <v>0</v>
      </c>
      <c r="O247" s="19">
        <f t="shared" si="21"/>
        <v>0</v>
      </c>
      <c r="P247" s="48"/>
      <c r="Q247" s="48" t="s">
        <v>275</v>
      </c>
    </row>
    <row r="248" spans="1:17">
      <c r="A248" s="158" t="s">
        <v>319</v>
      </c>
      <c r="B248" s="244">
        <v>0</v>
      </c>
      <c r="C248" s="62">
        <v>5000</v>
      </c>
      <c r="D248" s="60">
        <v>5000</v>
      </c>
      <c r="E248" s="101">
        <v>9000</v>
      </c>
      <c r="F248" s="60">
        <v>500</v>
      </c>
      <c r="G248" s="60">
        <v>85</v>
      </c>
      <c r="H248" s="60"/>
      <c r="I248" s="60" t="s">
        <v>399</v>
      </c>
      <c r="J248" s="60"/>
      <c r="K248" s="53">
        <v>3300</v>
      </c>
      <c r="L248" s="19">
        <f t="shared" si="20"/>
        <v>0</v>
      </c>
      <c r="M248" s="19">
        <f t="shared" si="15"/>
        <v>0</v>
      </c>
      <c r="N248" s="19">
        <f t="shared" si="16"/>
        <v>0</v>
      </c>
      <c r="O248" s="19">
        <f t="shared" si="21"/>
        <v>0</v>
      </c>
      <c r="P248" s="48" t="s">
        <v>88</v>
      </c>
      <c r="Q248" s="48" t="s">
        <v>320</v>
      </c>
    </row>
    <row r="249" spans="1:17" ht="15.75" thickBot="1">
      <c r="A249" s="159" t="s">
        <v>321</v>
      </c>
      <c r="B249" s="245">
        <v>0</v>
      </c>
      <c r="C249" s="63">
        <v>8500</v>
      </c>
      <c r="D249" s="59">
        <v>7700</v>
      </c>
      <c r="E249" s="102">
        <v>10050</v>
      </c>
      <c r="F249" s="59">
        <v>945</v>
      </c>
      <c r="G249" s="59">
        <v>85</v>
      </c>
      <c r="H249" s="59"/>
      <c r="I249" s="59" t="s">
        <v>400</v>
      </c>
      <c r="J249" s="59"/>
      <c r="K249" s="53">
        <v>3300</v>
      </c>
      <c r="L249" s="21">
        <f t="shared" si="20"/>
        <v>0</v>
      </c>
      <c r="M249" s="21">
        <f t="shared" si="15"/>
        <v>0</v>
      </c>
      <c r="N249" s="21">
        <f t="shared" si="16"/>
        <v>0</v>
      </c>
      <c r="O249" s="21">
        <f t="shared" si="21"/>
        <v>0</v>
      </c>
      <c r="P249" s="55" t="s">
        <v>322</v>
      </c>
      <c r="Q249" s="55" t="s">
        <v>207</v>
      </c>
    </row>
    <row r="250" spans="1:17">
      <c r="A250" s="154" t="s">
        <v>911</v>
      </c>
      <c r="B250" s="243">
        <v>0</v>
      </c>
      <c r="C250" s="39">
        <v>4500</v>
      </c>
      <c r="D250" s="40">
        <v>3000</v>
      </c>
      <c r="E250" s="52">
        <v>3200</v>
      </c>
      <c r="F250" s="40"/>
      <c r="G250" s="70">
        <v>75</v>
      </c>
      <c r="H250" s="70">
        <v>150</v>
      </c>
      <c r="I250" s="70" t="s">
        <v>396</v>
      </c>
      <c r="J250" s="40">
        <v>50</v>
      </c>
      <c r="K250" s="52">
        <v>4000</v>
      </c>
      <c r="L250" s="42">
        <f t="shared" si="20"/>
        <v>0</v>
      </c>
      <c r="M250" s="42">
        <f t="shared" si="15"/>
        <v>0</v>
      </c>
      <c r="N250" s="42">
        <f t="shared" si="16"/>
        <v>0</v>
      </c>
      <c r="O250" s="42">
        <f t="shared" si="21"/>
        <v>0</v>
      </c>
      <c r="P250" s="38"/>
      <c r="Q250" s="44"/>
    </row>
    <row r="251" spans="1:17">
      <c r="A251" s="155" t="s">
        <v>302</v>
      </c>
      <c r="B251" s="244">
        <v>0</v>
      </c>
      <c r="C251" s="62">
        <v>5500</v>
      </c>
      <c r="D251" s="60">
        <v>4000</v>
      </c>
      <c r="E251" s="101">
        <v>4000</v>
      </c>
      <c r="F251" s="60"/>
      <c r="G251" s="60">
        <v>90</v>
      </c>
      <c r="H251" s="60"/>
      <c r="I251" s="60" t="s">
        <v>396</v>
      </c>
      <c r="J251" s="60">
        <v>50</v>
      </c>
      <c r="K251" s="53">
        <v>4000</v>
      </c>
      <c r="L251" s="19">
        <f t="shared" si="20"/>
        <v>0</v>
      </c>
      <c r="M251" s="19">
        <f t="shared" si="15"/>
        <v>0</v>
      </c>
      <c r="N251" s="19">
        <f t="shared" si="16"/>
        <v>0</v>
      </c>
      <c r="O251" s="19">
        <f t="shared" si="21"/>
        <v>0</v>
      </c>
      <c r="P251" s="48"/>
      <c r="Q251" s="26"/>
    </row>
    <row r="252" spans="1:17">
      <c r="A252" s="155" t="s">
        <v>712</v>
      </c>
      <c r="B252" s="244">
        <v>0</v>
      </c>
      <c r="C252" s="62">
        <v>5000</v>
      </c>
      <c r="D252" s="60">
        <v>4000</v>
      </c>
      <c r="E252" s="101">
        <v>4200</v>
      </c>
      <c r="F252" s="60"/>
      <c r="G252" s="60">
        <v>90</v>
      </c>
      <c r="H252" s="60"/>
      <c r="I252" s="60" t="s">
        <v>396</v>
      </c>
      <c r="J252" s="60"/>
      <c r="K252" s="53">
        <v>4000</v>
      </c>
      <c r="L252" s="19">
        <f t="shared" si="20"/>
        <v>0</v>
      </c>
      <c r="M252" s="19">
        <f t="shared" si="15"/>
        <v>0</v>
      </c>
      <c r="N252" s="19">
        <f t="shared" si="16"/>
        <v>0</v>
      </c>
      <c r="O252" s="19">
        <f t="shared" si="21"/>
        <v>0</v>
      </c>
      <c r="P252" s="48"/>
      <c r="Q252" s="26"/>
    </row>
    <row r="253" spans="1:17">
      <c r="A253" s="155" t="s">
        <v>303</v>
      </c>
      <c r="B253" s="244">
        <v>0</v>
      </c>
      <c r="C253" s="62">
        <v>4500</v>
      </c>
      <c r="D253" s="60">
        <v>3000</v>
      </c>
      <c r="E253" s="101">
        <v>5600</v>
      </c>
      <c r="F253" s="60"/>
      <c r="G253" s="60">
        <v>90</v>
      </c>
      <c r="H253" s="60"/>
      <c r="I253" s="60" t="s">
        <v>396</v>
      </c>
      <c r="J253" s="60"/>
      <c r="K253" s="53">
        <v>4000</v>
      </c>
      <c r="L253" s="19">
        <f t="shared" si="20"/>
        <v>0</v>
      </c>
      <c r="M253" s="19">
        <f t="shared" si="15"/>
        <v>0</v>
      </c>
      <c r="N253" s="19">
        <f t="shared" si="16"/>
        <v>0</v>
      </c>
      <c r="O253" s="19">
        <f t="shared" si="21"/>
        <v>0</v>
      </c>
      <c r="P253" s="48"/>
      <c r="Q253" s="26"/>
    </row>
    <row r="254" spans="1:17">
      <c r="A254" s="155" t="s">
        <v>304</v>
      </c>
      <c r="B254" s="244">
        <v>0</v>
      </c>
      <c r="C254" s="62">
        <v>3000</v>
      </c>
      <c r="D254" s="60">
        <v>3000</v>
      </c>
      <c r="E254" s="101">
        <v>3000</v>
      </c>
      <c r="F254" s="60"/>
      <c r="G254" s="60">
        <v>90</v>
      </c>
      <c r="H254" s="60"/>
      <c r="I254" s="60" t="s">
        <v>396</v>
      </c>
      <c r="J254" s="60"/>
      <c r="K254" s="53">
        <v>4000</v>
      </c>
      <c r="L254" s="19">
        <f t="shared" si="20"/>
        <v>0</v>
      </c>
      <c r="M254" s="19">
        <f t="shared" si="15"/>
        <v>0</v>
      </c>
      <c r="N254" s="19">
        <f t="shared" si="16"/>
        <v>0</v>
      </c>
      <c r="O254" s="19">
        <f t="shared" si="21"/>
        <v>0</v>
      </c>
      <c r="P254" s="48"/>
      <c r="Q254" s="26"/>
    </row>
    <row r="255" spans="1:17">
      <c r="A255" s="155" t="s">
        <v>305</v>
      </c>
      <c r="B255" s="244">
        <v>0</v>
      </c>
      <c r="C255" s="62">
        <v>4000</v>
      </c>
      <c r="D255" s="60">
        <v>4000</v>
      </c>
      <c r="E255" s="101">
        <v>5000</v>
      </c>
      <c r="F255" s="60"/>
      <c r="G255" s="60">
        <v>90</v>
      </c>
      <c r="H255" s="60"/>
      <c r="I255" s="60" t="s">
        <v>396</v>
      </c>
      <c r="J255" s="60"/>
      <c r="K255" s="53">
        <v>4000</v>
      </c>
      <c r="L255" s="19">
        <f t="shared" ref="L255:L286" si="22">$B255*C255</f>
        <v>0</v>
      </c>
      <c r="M255" s="19">
        <f t="shared" si="15"/>
        <v>0</v>
      </c>
      <c r="N255" s="19">
        <f t="shared" si="16"/>
        <v>0</v>
      </c>
      <c r="O255" s="19">
        <f t="shared" ref="O255:O286" si="23">$B255*K255</f>
        <v>0</v>
      </c>
      <c r="P255" s="48"/>
      <c r="Q255" s="26"/>
    </row>
    <row r="256" spans="1:17">
      <c r="A256" s="155" t="s">
        <v>306</v>
      </c>
      <c r="B256" s="244">
        <v>0</v>
      </c>
      <c r="C256" s="62">
        <v>6700</v>
      </c>
      <c r="D256" s="60">
        <v>3500</v>
      </c>
      <c r="E256" s="101">
        <v>3500</v>
      </c>
      <c r="F256" s="60"/>
      <c r="G256" s="60">
        <v>90</v>
      </c>
      <c r="H256" s="60"/>
      <c r="I256" s="60" t="s">
        <v>396</v>
      </c>
      <c r="J256" s="60"/>
      <c r="K256" s="53">
        <v>4000</v>
      </c>
      <c r="L256" s="19">
        <f t="shared" si="22"/>
        <v>0</v>
      </c>
      <c r="M256" s="19">
        <f t="shared" si="15"/>
        <v>0</v>
      </c>
      <c r="N256" s="19">
        <f t="shared" si="16"/>
        <v>0</v>
      </c>
      <c r="O256" s="19">
        <f t="shared" si="23"/>
        <v>0</v>
      </c>
      <c r="P256" s="48"/>
      <c r="Q256" s="26"/>
    </row>
    <row r="257" spans="1:17">
      <c r="A257" s="157" t="s">
        <v>307</v>
      </c>
      <c r="B257" s="244">
        <v>0</v>
      </c>
      <c r="C257" s="62">
        <v>8000</v>
      </c>
      <c r="D257" s="60">
        <v>5000</v>
      </c>
      <c r="E257" s="101">
        <v>6000</v>
      </c>
      <c r="F257" s="60"/>
      <c r="G257" s="60">
        <v>90</v>
      </c>
      <c r="H257" s="60"/>
      <c r="I257" s="60" t="s">
        <v>396</v>
      </c>
      <c r="J257" s="60"/>
      <c r="K257" s="53">
        <v>4000</v>
      </c>
      <c r="L257" s="19">
        <f t="shared" si="22"/>
        <v>0</v>
      </c>
      <c r="M257" s="19">
        <f t="shared" si="15"/>
        <v>0</v>
      </c>
      <c r="N257" s="19">
        <f t="shared" si="16"/>
        <v>0</v>
      </c>
      <c r="O257" s="19">
        <f t="shared" si="23"/>
        <v>0</v>
      </c>
      <c r="P257" s="48"/>
      <c r="Q257" s="26"/>
    </row>
    <row r="258" spans="1:17">
      <c r="A258" s="157" t="s">
        <v>308</v>
      </c>
      <c r="B258" s="244">
        <v>0</v>
      </c>
      <c r="C258" s="62">
        <v>7500</v>
      </c>
      <c r="D258" s="60">
        <v>5000</v>
      </c>
      <c r="E258" s="101">
        <v>6200</v>
      </c>
      <c r="F258" s="60"/>
      <c r="G258" s="60">
        <v>90</v>
      </c>
      <c r="H258" s="60"/>
      <c r="I258" s="60" t="s">
        <v>396</v>
      </c>
      <c r="J258" s="60"/>
      <c r="K258" s="53">
        <v>4000</v>
      </c>
      <c r="L258" s="19">
        <f t="shared" si="22"/>
        <v>0</v>
      </c>
      <c r="M258" s="19">
        <f t="shared" si="15"/>
        <v>0</v>
      </c>
      <c r="N258" s="19">
        <f t="shared" si="16"/>
        <v>0</v>
      </c>
      <c r="O258" s="19">
        <f t="shared" si="23"/>
        <v>0</v>
      </c>
      <c r="P258" s="48"/>
      <c r="Q258" s="26"/>
    </row>
    <row r="259" spans="1:17">
      <c r="A259" s="157" t="s">
        <v>309</v>
      </c>
      <c r="B259" s="244">
        <v>0</v>
      </c>
      <c r="C259" s="62">
        <v>7500</v>
      </c>
      <c r="D259" s="60">
        <v>5000</v>
      </c>
      <c r="E259" s="101">
        <v>6000</v>
      </c>
      <c r="F259" s="60"/>
      <c r="G259" s="60">
        <v>90</v>
      </c>
      <c r="H259" s="60"/>
      <c r="I259" s="60" t="s">
        <v>396</v>
      </c>
      <c r="J259" s="60"/>
      <c r="K259" s="53">
        <v>4000</v>
      </c>
      <c r="L259" s="19">
        <f t="shared" si="22"/>
        <v>0</v>
      </c>
      <c r="M259" s="19">
        <f t="shared" si="15"/>
        <v>0</v>
      </c>
      <c r="N259" s="19">
        <f t="shared" si="16"/>
        <v>0</v>
      </c>
      <c r="O259" s="19">
        <f t="shared" si="23"/>
        <v>0</v>
      </c>
      <c r="P259" s="48"/>
      <c r="Q259" s="26"/>
    </row>
    <row r="260" spans="1:17">
      <c r="A260" s="157" t="s">
        <v>310</v>
      </c>
      <c r="B260" s="244">
        <v>0</v>
      </c>
      <c r="C260" s="62">
        <v>6000</v>
      </c>
      <c r="D260" s="60">
        <v>4500</v>
      </c>
      <c r="E260" s="101">
        <v>7500</v>
      </c>
      <c r="F260" s="60"/>
      <c r="G260" s="60">
        <v>90</v>
      </c>
      <c r="H260" s="60"/>
      <c r="I260" s="60" t="s">
        <v>396</v>
      </c>
      <c r="J260" s="60"/>
      <c r="K260" s="53">
        <v>4000</v>
      </c>
      <c r="L260" s="19">
        <f t="shared" si="22"/>
        <v>0</v>
      </c>
      <c r="M260" s="19">
        <f t="shared" si="15"/>
        <v>0</v>
      </c>
      <c r="N260" s="19">
        <f t="shared" si="16"/>
        <v>0</v>
      </c>
      <c r="O260" s="19">
        <f t="shared" si="23"/>
        <v>0</v>
      </c>
      <c r="P260" s="48"/>
      <c r="Q260" s="26"/>
    </row>
    <row r="261" spans="1:17">
      <c r="A261" s="158" t="s">
        <v>311</v>
      </c>
      <c r="B261" s="244">
        <v>0</v>
      </c>
      <c r="C261" s="62">
        <v>11000</v>
      </c>
      <c r="D261" s="60">
        <v>7500</v>
      </c>
      <c r="E261" s="101">
        <v>8000</v>
      </c>
      <c r="F261" s="60"/>
      <c r="G261" s="60">
        <v>90</v>
      </c>
      <c r="H261" s="60"/>
      <c r="I261" s="60" t="s">
        <v>396</v>
      </c>
      <c r="J261" s="60"/>
      <c r="K261" s="53">
        <v>4000</v>
      </c>
      <c r="L261" s="19">
        <f t="shared" si="22"/>
        <v>0</v>
      </c>
      <c r="M261" s="19">
        <f t="shared" si="15"/>
        <v>0</v>
      </c>
      <c r="N261" s="19">
        <f t="shared" si="16"/>
        <v>0</v>
      </c>
      <c r="O261" s="19">
        <f t="shared" si="23"/>
        <v>0</v>
      </c>
      <c r="P261" s="48"/>
      <c r="Q261" s="26"/>
    </row>
    <row r="262" spans="1:17">
      <c r="A262" s="158" t="s">
        <v>312</v>
      </c>
      <c r="B262" s="244">
        <v>0</v>
      </c>
      <c r="C262" s="62">
        <v>7000</v>
      </c>
      <c r="D262" s="60">
        <v>7000</v>
      </c>
      <c r="E262" s="101">
        <v>12000</v>
      </c>
      <c r="F262" s="60"/>
      <c r="G262" s="60">
        <v>90</v>
      </c>
      <c r="H262" s="60"/>
      <c r="I262" s="60" t="s">
        <v>396</v>
      </c>
      <c r="J262" s="60"/>
      <c r="K262" s="53">
        <v>4000</v>
      </c>
      <c r="L262" s="19">
        <f t="shared" si="22"/>
        <v>0</v>
      </c>
      <c r="M262" s="19">
        <f t="shared" si="15"/>
        <v>0</v>
      </c>
      <c r="N262" s="19">
        <f t="shared" si="16"/>
        <v>0</v>
      </c>
      <c r="O262" s="19">
        <f t="shared" si="23"/>
        <v>0</v>
      </c>
      <c r="P262" s="48"/>
      <c r="Q262" s="26"/>
    </row>
    <row r="263" spans="1:17" ht="15.75" thickBot="1">
      <c r="A263" s="159" t="s">
        <v>313</v>
      </c>
      <c r="B263" s="245">
        <v>0</v>
      </c>
      <c r="C263" s="63">
        <v>22500</v>
      </c>
      <c r="D263" s="59">
        <v>15000</v>
      </c>
      <c r="E263" s="102">
        <v>16000</v>
      </c>
      <c r="F263" s="59"/>
      <c r="G263" s="59">
        <v>90</v>
      </c>
      <c r="H263" s="59"/>
      <c r="I263" s="59" t="s">
        <v>396</v>
      </c>
      <c r="J263" s="59"/>
      <c r="K263" s="54">
        <v>4000</v>
      </c>
      <c r="L263" s="21">
        <f t="shared" si="22"/>
        <v>0</v>
      </c>
      <c r="M263" s="21">
        <f t="shared" si="15"/>
        <v>0</v>
      </c>
      <c r="N263" s="21">
        <f t="shared" si="16"/>
        <v>0</v>
      </c>
      <c r="O263" s="21">
        <f t="shared" si="23"/>
        <v>0</v>
      </c>
      <c r="P263" s="55" t="s">
        <v>91</v>
      </c>
      <c r="Q263" s="56"/>
    </row>
    <row r="264" spans="1:17">
      <c r="A264" s="154" t="s">
        <v>669</v>
      </c>
      <c r="B264" s="243">
        <v>0</v>
      </c>
      <c r="C264" s="168">
        <v>500</v>
      </c>
      <c r="D264" s="169">
        <v>900</v>
      </c>
      <c r="E264" s="170">
        <v>2600</v>
      </c>
      <c r="F264" s="168">
        <v>1000</v>
      </c>
      <c r="G264" s="70">
        <v>60</v>
      </c>
      <c r="H264" s="70"/>
      <c r="I264" s="70" t="s">
        <v>398</v>
      </c>
      <c r="J264" s="169">
        <v>1</v>
      </c>
      <c r="K264" s="52">
        <v>3500</v>
      </c>
      <c r="L264" s="42">
        <f t="shared" si="22"/>
        <v>0</v>
      </c>
      <c r="M264" s="42">
        <f t="shared" si="15"/>
        <v>0</v>
      </c>
      <c r="N264" s="42">
        <f t="shared" si="16"/>
        <v>0</v>
      </c>
      <c r="O264" s="42">
        <f t="shared" si="23"/>
        <v>0</v>
      </c>
      <c r="P264" s="57"/>
      <c r="Q264" s="57" t="s">
        <v>207</v>
      </c>
    </row>
    <row r="265" spans="1:17">
      <c r="A265" s="155" t="s">
        <v>604</v>
      </c>
      <c r="B265" s="244">
        <v>0</v>
      </c>
      <c r="C265" s="80">
        <v>750</v>
      </c>
      <c r="D265" s="45">
        <v>1350</v>
      </c>
      <c r="E265" s="99">
        <v>3900</v>
      </c>
      <c r="F265" s="80">
        <v>1500</v>
      </c>
      <c r="G265" s="60">
        <v>70</v>
      </c>
      <c r="H265" s="60"/>
      <c r="I265" s="60" t="s">
        <v>398</v>
      </c>
      <c r="J265" s="45">
        <v>1</v>
      </c>
      <c r="K265" s="53">
        <v>3500</v>
      </c>
      <c r="L265" s="19">
        <f t="shared" si="22"/>
        <v>0</v>
      </c>
      <c r="M265" s="19">
        <f t="shared" si="15"/>
        <v>0</v>
      </c>
      <c r="N265" s="19">
        <f t="shared" si="16"/>
        <v>0</v>
      </c>
      <c r="O265" s="19">
        <f t="shared" si="23"/>
        <v>0</v>
      </c>
      <c r="P265" s="48"/>
      <c r="Q265" s="48" t="s">
        <v>207</v>
      </c>
    </row>
    <row r="266" spans="1:17">
      <c r="A266" s="157" t="s">
        <v>605</v>
      </c>
      <c r="B266" s="244">
        <v>0</v>
      </c>
      <c r="C266" s="80">
        <v>1000</v>
      </c>
      <c r="D266" s="45">
        <v>1800</v>
      </c>
      <c r="E266" s="99">
        <v>5200</v>
      </c>
      <c r="F266" s="80">
        <v>2000</v>
      </c>
      <c r="G266" s="60">
        <v>70</v>
      </c>
      <c r="H266" s="60"/>
      <c r="I266" s="60" t="s">
        <v>398</v>
      </c>
      <c r="J266" s="45">
        <v>1</v>
      </c>
      <c r="K266" s="53">
        <v>3500</v>
      </c>
      <c r="L266" s="19">
        <f t="shared" si="22"/>
        <v>0</v>
      </c>
      <c r="M266" s="19">
        <f t="shared" si="15"/>
        <v>0</v>
      </c>
      <c r="N266" s="19">
        <f t="shared" si="16"/>
        <v>0</v>
      </c>
      <c r="O266" s="19">
        <f t="shared" si="23"/>
        <v>0</v>
      </c>
      <c r="P266" s="48"/>
      <c r="Q266" s="48" t="s">
        <v>320</v>
      </c>
    </row>
    <row r="267" spans="1:17">
      <c r="A267" s="158" t="s">
        <v>606</v>
      </c>
      <c r="B267" s="244">
        <v>0</v>
      </c>
      <c r="C267" s="80">
        <v>5000</v>
      </c>
      <c r="D267" s="45">
        <v>5000</v>
      </c>
      <c r="E267" s="99">
        <v>5000</v>
      </c>
      <c r="F267" s="80"/>
      <c r="G267" s="60">
        <v>70</v>
      </c>
      <c r="H267" s="60"/>
      <c r="I267" s="60" t="s">
        <v>399</v>
      </c>
      <c r="J267" s="45">
        <v>100</v>
      </c>
      <c r="K267" s="53">
        <v>3500</v>
      </c>
      <c r="L267" s="19">
        <f t="shared" si="22"/>
        <v>0</v>
      </c>
      <c r="M267" s="19">
        <f t="shared" si="15"/>
        <v>0</v>
      </c>
      <c r="N267" s="19">
        <f t="shared" si="16"/>
        <v>0</v>
      </c>
      <c r="O267" s="19">
        <f t="shared" si="23"/>
        <v>0</v>
      </c>
      <c r="P267" s="48"/>
      <c r="Q267" s="48"/>
    </row>
    <row r="268" spans="1:17" ht="15.75" thickBot="1">
      <c r="A268" s="650" t="s">
        <v>607</v>
      </c>
      <c r="B268" s="244">
        <v>0</v>
      </c>
      <c r="C268" s="80">
        <v>2000</v>
      </c>
      <c r="D268" s="45">
        <v>1800</v>
      </c>
      <c r="E268" s="99">
        <v>10200</v>
      </c>
      <c r="F268" s="80">
        <v>4000</v>
      </c>
      <c r="G268" s="60">
        <v>70</v>
      </c>
      <c r="H268" s="60"/>
      <c r="I268" s="60" t="s">
        <v>398</v>
      </c>
      <c r="J268" s="45">
        <v>1</v>
      </c>
      <c r="K268" s="53">
        <v>3500</v>
      </c>
      <c r="L268" s="19">
        <f t="shared" si="22"/>
        <v>0</v>
      </c>
      <c r="M268" s="19">
        <f t="shared" si="15"/>
        <v>0</v>
      </c>
      <c r="N268" s="19">
        <f t="shared" si="16"/>
        <v>0</v>
      </c>
      <c r="O268" s="19">
        <f t="shared" si="23"/>
        <v>0</v>
      </c>
      <c r="P268" s="48"/>
      <c r="Q268" s="48" t="s">
        <v>212</v>
      </c>
    </row>
    <row r="269" spans="1:17">
      <c r="A269" s="154" t="s">
        <v>670</v>
      </c>
      <c r="B269" s="243">
        <v>0</v>
      </c>
      <c r="C269" s="39">
        <v>4095</v>
      </c>
      <c r="D269" s="40">
        <v>5200</v>
      </c>
      <c r="E269" s="52">
        <v>4600</v>
      </c>
      <c r="F269" s="40"/>
      <c r="G269" s="70">
        <v>120</v>
      </c>
      <c r="H269" s="70">
        <v>200</v>
      </c>
      <c r="I269" s="70" t="s">
        <v>402</v>
      </c>
      <c r="J269" s="40"/>
      <c r="K269" s="52">
        <v>7500</v>
      </c>
      <c r="L269" s="42">
        <f t="shared" si="22"/>
        <v>0</v>
      </c>
      <c r="M269" s="42">
        <f t="shared" si="15"/>
        <v>0</v>
      </c>
      <c r="N269" s="42">
        <f t="shared" si="16"/>
        <v>0</v>
      </c>
      <c r="O269" s="42">
        <f t="shared" si="23"/>
        <v>0</v>
      </c>
      <c r="P269" s="38"/>
      <c r="Q269" s="38"/>
    </row>
    <row r="270" spans="1:17">
      <c r="A270" s="155" t="s">
        <v>323</v>
      </c>
      <c r="B270" s="244">
        <v>0</v>
      </c>
      <c r="C270" s="62">
        <v>5095</v>
      </c>
      <c r="D270" s="60">
        <v>6200</v>
      </c>
      <c r="E270" s="101">
        <v>5600</v>
      </c>
      <c r="F270" s="60"/>
      <c r="G270" s="60">
        <v>250</v>
      </c>
      <c r="H270" s="60"/>
      <c r="I270" s="60" t="s">
        <v>402</v>
      </c>
      <c r="J270" s="60">
        <v>100</v>
      </c>
      <c r="K270" s="53">
        <v>7500</v>
      </c>
      <c r="L270" s="19">
        <f t="shared" si="22"/>
        <v>0</v>
      </c>
      <c r="M270" s="19">
        <f t="shared" si="15"/>
        <v>0</v>
      </c>
      <c r="N270" s="19">
        <f t="shared" si="16"/>
        <v>0</v>
      </c>
      <c r="O270" s="19">
        <f t="shared" si="23"/>
        <v>0</v>
      </c>
      <c r="P270" s="48"/>
      <c r="Q270" s="48"/>
    </row>
    <row r="271" spans="1:17">
      <c r="A271" s="155" t="s">
        <v>324</v>
      </c>
      <c r="B271" s="244">
        <v>0</v>
      </c>
      <c r="C271" s="62">
        <v>5000</v>
      </c>
      <c r="D271" s="60">
        <v>5500</v>
      </c>
      <c r="E271" s="101">
        <v>5000</v>
      </c>
      <c r="F271" s="60"/>
      <c r="G271" s="60">
        <v>250</v>
      </c>
      <c r="H271" s="60"/>
      <c r="I271" s="60" t="s">
        <v>402</v>
      </c>
      <c r="J271" s="60"/>
      <c r="K271" s="53">
        <v>7500</v>
      </c>
      <c r="L271" s="19">
        <f t="shared" si="22"/>
        <v>0</v>
      </c>
      <c r="M271" s="19">
        <f t="shared" si="15"/>
        <v>0</v>
      </c>
      <c r="N271" s="19">
        <f t="shared" si="16"/>
        <v>0</v>
      </c>
      <c r="O271" s="19">
        <f t="shared" si="23"/>
        <v>0</v>
      </c>
      <c r="P271" s="48" t="s">
        <v>88</v>
      </c>
      <c r="Q271" s="48"/>
    </row>
    <row r="272" spans="1:17">
      <c r="A272" s="155" t="s">
        <v>325</v>
      </c>
      <c r="B272" s="244">
        <v>0</v>
      </c>
      <c r="C272" s="62">
        <v>6000</v>
      </c>
      <c r="D272" s="60">
        <v>5500</v>
      </c>
      <c r="E272" s="101">
        <v>5750</v>
      </c>
      <c r="F272" s="60"/>
      <c r="G272" s="60">
        <v>250</v>
      </c>
      <c r="H272" s="60"/>
      <c r="I272" s="60" t="s">
        <v>402</v>
      </c>
      <c r="J272" s="60"/>
      <c r="K272" s="53">
        <v>7500</v>
      </c>
      <c r="L272" s="19">
        <f t="shared" si="22"/>
        <v>0</v>
      </c>
      <c r="M272" s="19">
        <f t="shared" si="15"/>
        <v>0</v>
      </c>
      <c r="N272" s="19">
        <f t="shared" si="16"/>
        <v>0</v>
      </c>
      <c r="O272" s="19">
        <f t="shared" si="23"/>
        <v>0</v>
      </c>
      <c r="P272" s="48"/>
      <c r="Q272" s="48"/>
    </row>
    <row r="273" spans="1:17">
      <c r="A273" s="155" t="s">
        <v>326</v>
      </c>
      <c r="B273" s="244">
        <v>0</v>
      </c>
      <c r="C273" s="62">
        <v>6000</v>
      </c>
      <c r="D273" s="60">
        <v>6500</v>
      </c>
      <c r="E273" s="101">
        <v>5000</v>
      </c>
      <c r="F273" s="60"/>
      <c r="G273" s="60">
        <v>250</v>
      </c>
      <c r="H273" s="60"/>
      <c r="I273" s="60" t="s">
        <v>402</v>
      </c>
      <c r="J273" s="60"/>
      <c r="K273" s="53">
        <v>7500</v>
      </c>
      <c r="L273" s="19">
        <f t="shared" si="22"/>
        <v>0</v>
      </c>
      <c r="M273" s="19">
        <f t="shared" si="15"/>
        <v>0</v>
      </c>
      <c r="N273" s="19">
        <f t="shared" si="16"/>
        <v>0</v>
      </c>
      <c r="O273" s="19">
        <f t="shared" si="23"/>
        <v>0</v>
      </c>
      <c r="P273" s="48"/>
      <c r="Q273" s="48"/>
    </row>
    <row r="274" spans="1:17">
      <c r="A274" s="155" t="s">
        <v>327</v>
      </c>
      <c r="B274" s="244">
        <v>0</v>
      </c>
      <c r="C274" s="62">
        <v>6500</v>
      </c>
      <c r="D274" s="60">
        <v>6500</v>
      </c>
      <c r="E274" s="101">
        <v>6500</v>
      </c>
      <c r="F274" s="60"/>
      <c r="G274" s="60">
        <v>250</v>
      </c>
      <c r="H274" s="60"/>
      <c r="I274" s="60" t="s">
        <v>402</v>
      </c>
      <c r="J274" s="60"/>
      <c r="K274" s="53">
        <v>7500</v>
      </c>
      <c r="L274" s="19">
        <f t="shared" si="22"/>
        <v>0</v>
      </c>
      <c r="M274" s="19">
        <f t="shared" si="15"/>
        <v>0</v>
      </c>
      <c r="N274" s="19">
        <f t="shared" si="16"/>
        <v>0</v>
      </c>
      <c r="O274" s="19">
        <f t="shared" si="23"/>
        <v>0</v>
      </c>
      <c r="P274" s="48"/>
      <c r="Q274" s="48"/>
    </row>
    <row r="275" spans="1:17">
      <c r="A275" s="155" t="s">
        <v>328</v>
      </c>
      <c r="B275" s="244">
        <v>0</v>
      </c>
      <c r="C275" s="62">
        <v>5200</v>
      </c>
      <c r="D275" s="60">
        <v>6500</v>
      </c>
      <c r="E275" s="101">
        <v>5750</v>
      </c>
      <c r="F275" s="60"/>
      <c r="G275" s="60">
        <v>250</v>
      </c>
      <c r="H275" s="60"/>
      <c r="I275" s="60" t="s">
        <v>402</v>
      </c>
      <c r="J275" s="60"/>
      <c r="K275" s="53">
        <v>7500</v>
      </c>
      <c r="L275" s="19">
        <f t="shared" si="22"/>
        <v>0</v>
      </c>
      <c r="M275" s="19">
        <f t="shared" si="15"/>
        <v>0</v>
      </c>
      <c r="N275" s="19">
        <f t="shared" si="16"/>
        <v>0</v>
      </c>
      <c r="O275" s="19">
        <f t="shared" si="23"/>
        <v>0</v>
      </c>
      <c r="P275" s="48"/>
      <c r="Q275" s="48"/>
    </row>
    <row r="276" spans="1:17">
      <c r="A276" s="157" t="s">
        <v>329</v>
      </c>
      <c r="B276" s="244">
        <v>0</v>
      </c>
      <c r="C276" s="62">
        <v>7000</v>
      </c>
      <c r="D276" s="60">
        <v>9000</v>
      </c>
      <c r="E276" s="101">
        <v>8000</v>
      </c>
      <c r="F276" s="60"/>
      <c r="G276" s="60">
        <v>250</v>
      </c>
      <c r="H276" s="60"/>
      <c r="I276" s="60" t="s">
        <v>402</v>
      </c>
      <c r="J276" s="60"/>
      <c r="K276" s="53">
        <v>7500</v>
      </c>
      <c r="L276" s="19">
        <f t="shared" si="22"/>
        <v>0</v>
      </c>
      <c r="M276" s="19">
        <f t="shared" si="15"/>
        <v>0</v>
      </c>
      <c r="N276" s="19">
        <f t="shared" si="16"/>
        <v>0</v>
      </c>
      <c r="O276" s="19">
        <f t="shared" si="23"/>
        <v>0</v>
      </c>
      <c r="P276" s="48" t="s">
        <v>88</v>
      </c>
      <c r="Q276" s="48"/>
    </row>
    <row r="277" spans="1:17">
      <c r="A277" s="157" t="s">
        <v>330</v>
      </c>
      <c r="B277" s="244">
        <v>0</v>
      </c>
      <c r="C277" s="62">
        <v>4000</v>
      </c>
      <c r="D277" s="60">
        <v>8000</v>
      </c>
      <c r="E277" s="101">
        <v>8000</v>
      </c>
      <c r="F277" s="60">
        <v>1680</v>
      </c>
      <c r="G277" s="60">
        <v>250</v>
      </c>
      <c r="H277" s="60"/>
      <c r="I277" s="60" t="s">
        <v>402</v>
      </c>
      <c r="J277" s="60"/>
      <c r="K277" s="53">
        <v>7500</v>
      </c>
      <c r="L277" s="19">
        <f t="shared" si="22"/>
        <v>0</v>
      </c>
      <c r="M277" s="19">
        <f t="shared" si="15"/>
        <v>0</v>
      </c>
      <c r="N277" s="19">
        <f t="shared" si="16"/>
        <v>0</v>
      </c>
      <c r="O277" s="19">
        <f t="shared" si="23"/>
        <v>0</v>
      </c>
      <c r="P277" s="48" t="s">
        <v>88</v>
      </c>
      <c r="Q277" s="48" t="s">
        <v>227</v>
      </c>
    </row>
    <row r="278" spans="1:17">
      <c r="A278" s="157" t="s">
        <v>331</v>
      </c>
      <c r="B278" s="244">
        <v>0</v>
      </c>
      <c r="C278" s="62">
        <v>7595</v>
      </c>
      <c r="D278" s="60">
        <v>8200</v>
      </c>
      <c r="E278" s="101">
        <v>8500</v>
      </c>
      <c r="F278" s="60"/>
      <c r="G278" s="60">
        <v>250</v>
      </c>
      <c r="H278" s="60"/>
      <c r="I278" s="60" t="s">
        <v>400</v>
      </c>
      <c r="J278" s="60"/>
      <c r="K278" s="53">
        <v>7500</v>
      </c>
      <c r="L278" s="19">
        <f t="shared" si="22"/>
        <v>0</v>
      </c>
      <c r="M278" s="19">
        <f t="shared" si="15"/>
        <v>0</v>
      </c>
      <c r="N278" s="19">
        <f t="shared" si="16"/>
        <v>0</v>
      </c>
      <c r="O278" s="19">
        <f t="shared" si="23"/>
        <v>0</v>
      </c>
      <c r="P278" s="48"/>
      <c r="Q278" s="48"/>
    </row>
    <row r="279" spans="1:17">
      <c r="A279" s="157" t="s">
        <v>332</v>
      </c>
      <c r="B279" s="244">
        <v>0</v>
      </c>
      <c r="C279" s="62">
        <v>8000</v>
      </c>
      <c r="D279" s="60">
        <v>8000</v>
      </c>
      <c r="E279" s="101">
        <v>8000</v>
      </c>
      <c r="F279" s="60"/>
      <c r="G279" s="60">
        <v>250</v>
      </c>
      <c r="H279" s="60"/>
      <c r="I279" s="60" t="s">
        <v>402</v>
      </c>
      <c r="J279" s="60"/>
      <c r="K279" s="53">
        <v>7500</v>
      </c>
      <c r="L279" s="19">
        <f t="shared" si="22"/>
        <v>0</v>
      </c>
      <c r="M279" s="19">
        <f t="shared" si="15"/>
        <v>0</v>
      </c>
      <c r="N279" s="19">
        <f t="shared" si="16"/>
        <v>0</v>
      </c>
      <c r="O279" s="19">
        <f t="shared" si="23"/>
        <v>0</v>
      </c>
      <c r="P279" s="48"/>
      <c r="Q279" s="48"/>
    </row>
    <row r="280" spans="1:17">
      <c r="A280" s="158" t="s">
        <v>333</v>
      </c>
      <c r="B280" s="244">
        <v>0</v>
      </c>
      <c r="C280" s="62">
        <v>10000</v>
      </c>
      <c r="D280" s="60">
        <v>15000</v>
      </c>
      <c r="E280" s="101">
        <v>10000</v>
      </c>
      <c r="F280" s="60"/>
      <c r="G280" s="60">
        <v>250</v>
      </c>
      <c r="H280" s="60"/>
      <c r="I280" s="60" t="s">
        <v>399</v>
      </c>
      <c r="J280" s="60"/>
      <c r="K280" s="53">
        <v>7500</v>
      </c>
      <c r="L280" s="19">
        <f t="shared" si="22"/>
        <v>0</v>
      </c>
      <c r="M280" s="19">
        <f t="shared" si="15"/>
        <v>0</v>
      </c>
      <c r="N280" s="19">
        <f t="shared" si="16"/>
        <v>0</v>
      </c>
      <c r="O280" s="19">
        <f t="shared" si="23"/>
        <v>0</v>
      </c>
      <c r="P280" s="48"/>
      <c r="Q280" s="48"/>
    </row>
    <row r="281" spans="1:17">
      <c r="A281" s="158" t="s">
        <v>334</v>
      </c>
      <c r="B281" s="244">
        <v>0</v>
      </c>
      <c r="C281" s="62">
        <v>10000</v>
      </c>
      <c r="D281" s="60">
        <v>12000</v>
      </c>
      <c r="E281" s="101">
        <v>12500</v>
      </c>
      <c r="F281" s="60">
        <v>540</v>
      </c>
      <c r="G281" s="60">
        <v>250</v>
      </c>
      <c r="H281" s="60"/>
      <c r="I281" s="60" t="s">
        <v>402</v>
      </c>
      <c r="J281" s="60"/>
      <c r="K281" s="53">
        <v>7500</v>
      </c>
      <c r="L281" s="19">
        <f t="shared" si="22"/>
        <v>0</v>
      </c>
      <c r="M281" s="19">
        <f t="shared" si="15"/>
        <v>0</v>
      </c>
      <c r="N281" s="19">
        <f t="shared" si="16"/>
        <v>0</v>
      </c>
      <c r="O281" s="19">
        <f t="shared" si="23"/>
        <v>0</v>
      </c>
      <c r="P281" s="48" t="s">
        <v>104</v>
      </c>
      <c r="Q281" s="48" t="s">
        <v>212</v>
      </c>
    </row>
    <row r="282" spans="1:17" ht="15.75" thickBot="1">
      <c r="A282" s="159" t="s">
        <v>335</v>
      </c>
      <c r="B282" s="245">
        <v>0</v>
      </c>
      <c r="C282" s="63">
        <v>21000</v>
      </c>
      <c r="D282" s="59">
        <v>22000</v>
      </c>
      <c r="E282" s="102">
        <v>25000</v>
      </c>
      <c r="F282" s="59"/>
      <c r="G282" s="59">
        <v>250</v>
      </c>
      <c r="H282" s="59"/>
      <c r="I282" s="59" t="s">
        <v>402</v>
      </c>
      <c r="J282" s="59"/>
      <c r="K282" s="54">
        <v>7500</v>
      </c>
      <c r="L282" s="21">
        <f t="shared" si="22"/>
        <v>0</v>
      </c>
      <c r="M282" s="21">
        <f t="shared" si="15"/>
        <v>0</v>
      </c>
      <c r="N282" s="21">
        <f t="shared" si="16"/>
        <v>0</v>
      </c>
      <c r="O282" s="21">
        <f t="shared" si="23"/>
        <v>0</v>
      </c>
      <c r="P282" s="55" t="s">
        <v>104</v>
      </c>
      <c r="Q282" s="55"/>
    </row>
    <row r="283" spans="1:17" ht="15.75" thickBot="1">
      <c r="A283" s="171" t="s">
        <v>912</v>
      </c>
      <c r="B283" s="244">
        <v>0</v>
      </c>
      <c r="C283" s="79">
        <v>850</v>
      </c>
      <c r="D283" s="13">
        <v>1500</v>
      </c>
      <c r="E283" s="53">
        <v>800</v>
      </c>
      <c r="F283" s="39"/>
      <c r="G283" s="70">
        <v>20</v>
      </c>
      <c r="H283" s="70">
        <v>50</v>
      </c>
      <c r="I283" s="70" t="s">
        <v>400</v>
      </c>
      <c r="J283" s="40">
        <v>1000</v>
      </c>
      <c r="K283" s="52">
        <v>1200</v>
      </c>
      <c r="L283" s="19">
        <f t="shared" si="22"/>
        <v>0</v>
      </c>
      <c r="M283" s="19">
        <f t="shared" si="15"/>
        <v>0</v>
      </c>
      <c r="N283" s="19">
        <f t="shared" si="16"/>
        <v>0</v>
      </c>
      <c r="O283" s="19">
        <f t="shared" si="23"/>
        <v>0</v>
      </c>
      <c r="P283" s="16"/>
      <c r="Q283" s="26"/>
    </row>
    <row r="284" spans="1:17">
      <c r="A284" s="154" t="s">
        <v>671</v>
      </c>
      <c r="B284" s="243">
        <v>0</v>
      </c>
      <c r="C284" s="39">
        <v>7000</v>
      </c>
      <c r="D284" s="40">
        <v>4500</v>
      </c>
      <c r="E284" s="52">
        <v>6700</v>
      </c>
      <c r="F284" s="40">
        <v>1200</v>
      </c>
      <c r="G284" s="70">
        <v>80</v>
      </c>
      <c r="H284" s="70">
        <v>200</v>
      </c>
      <c r="I284" s="70" t="s">
        <v>401</v>
      </c>
      <c r="J284" s="40"/>
      <c r="K284" s="52">
        <v>5000</v>
      </c>
      <c r="L284" s="42">
        <f t="shared" si="22"/>
        <v>0</v>
      </c>
      <c r="M284" s="42">
        <f t="shared" si="15"/>
        <v>0</v>
      </c>
      <c r="N284" s="42">
        <f t="shared" si="16"/>
        <v>0</v>
      </c>
      <c r="O284" s="42">
        <f t="shared" si="23"/>
        <v>0</v>
      </c>
      <c r="P284" s="38"/>
      <c r="Q284" s="57" t="s">
        <v>342</v>
      </c>
    </row>
    <row r="285" spans="1:17">
      <c r="A285" s="155" t="s">
        <v>336</v>
      </c>
      <c r="B285" s="244">
        <v>0</v>
      </c>
      <c r="C285" s="62">
        <v>8000</v>
      </c>
      <c r="D285" s="60">
        <v>6000</v>
      </c>
      <c r="E285" s="101">
        <v>10000</v>
      </c>
      <c r="F285" s="60">
        <v>1200</v>
      </c>
      <c r="G285" s="60">
        <v>220</v>
      </c>
      <c r="H285" s="60"/>
      <c r="I285" s="60" t="s">
        <v>401</v>
      </c>
      <c r="J285" s="60">
        <v>1</v>
      </c>
      <c r="K285" s="53">
        <v>5000</v>
      </c>
      <c r="L285" s="19">
        <f t="shared" si="22"/>
        <v>0</v>
      </c>
      <c r="M285" s="19">
        <f t="shared" si="15"/>
        <v>0</v>
      </c>
      <c r="N285" s="19">
        <f t="shared" si="16"/>
        <v>0</v>
      </c>
      <c r="O285" s="19">
        <f t="shared" si="23"/>
        <v>0</v>
      </c>
      <c r="P285" s="48"/>
      <c r="Q285" s="48" t="s">
        <v>210</v>
      </c>
    </row>
    <row r="286" spans="1:17">
      <c r="A286" s="155" t="s">
        <v>337</v>
      </c>
      <c r="B286" s="244">
        <v>0</v>
      </c>
      <c r="C286" s="62">
        <v>8800</v>
      </c>
      <c r="D286" s="60">
        <v>5600</v>
      </c>
      <c r="E286" s="101">
        <v>8400</v>
      </c>
      <c r="F286" s="60">
        <v>1500</v>
      </c>
      <c r="G286" s="60">
        <v>220</v>
      </c>
      <c r="H286" s="60"/>
      <c r="I286" s="60" t="s">
        <v>401</v>
      </c>
      <c r="J286" s="60"/>
      <c r="K286" s="53">
        <v>5000</v>
      </c>
      <c r="L286" s="19">
        <f t="shared" si="22"/>
        <v>0</v>
      </c>
      <c r="M286" s="19">
        <f t="shared" si="15"/>
        <v>0</v>
      </c>
      <c r="N286" s="19">
        <f t="shared" si="16"/>
        <v>0</v>
      </c>
      <c r="O286" s="19">
        <f t="shared" si="23"/>
        <v>0</v>
      </c>
      <c r="P286" s="48"/>
      <c r="Q286" s="48"/>
    </row>
    <row r="287" spans="1:17">
      <c r="A287" s="155" t="s">
        <v>338</v>
      </c>
      <c r="B287" s="244">
        <v>0</v>
      </c>
      <c r="C287" s="62">
        <v>8000</v>
      </c>
      <c r="D287" s="60">
        <v>5500</v>
      </c>
      <c r="E287" s="101">
        <v>7700</v>
      </c>
      <c r="F287" s="60">
        <v>1800</v>
      </c>
      <c r="G287" s="60">
        <v>220</v>
      </c>
      <c r="H287" s="60"/>
      <c r="I287" s="60" t="s">
        <v>401</v>
      </c>
      <c r="J287" s="60"/>
      <c r="K287" s="53">
        <v>5000</v>
      </c>
      <c r="L287" s="19">
        <f t="shared" ref="L287:L312" si="24">$B287*C287</f>
        <v>0</v>
      </c>
      <c r="M287" s="19">
        <f t="shared" si="15"/>
        <v>0</v>
      </c>
      <c r="N287" s="19">
        <f t="shared" si="16"/>
        <v>0</v>
      </c>
      <c r="O287" s="19">
        <f t="shared" ref="O287:O312" si="25">$B287*K287</f>
        <v>0</v>
      </c>
      <c r="P287" s="48" t="s">
        <v>88</v>
      </c>
      <c r="Q287" s="48" t="s">
        <v>219</v>
      </c>
    </row>
    <row r="288" spans="1:17">
      <c r="A288" s="157" t="s">
        <v>339</v>
      </c>
      <c r="B288" s="244">
        <v>0</v>
      </c>
      <c r="C288" s="62">
        <v>12000</v>
      </c>
      <c r="D288" s="60">
        <v>12000</v>
      </c>
      <c r="E288" s="101">
        <v>12000</v>
      </c>
      <c r="F288" s="60">
        <v>1200</v>
      </c>
      <c r="G288" s="60">
        <v>220</v>
      </c>
      <c r="H288" s="60"/>
      <c r="I288" s="60" t="s">
        <v>401</v>
      </c>
      <c r="J288" s="60"/>
      <c r="K288" s="53">
        <v>5000</v>
      </c>
      <c r="L288" s="19">
        <f t="shared" si="24"/>
        <v>0</v>
      </c>
      <c r="M288" s="19">
        <f t="shared" si="15"/>
        <v>0</v>
      </c>
      <c r="N288" s="19">
        <f t="shared" si="16"/>
        <v>0</v>
      </c>
      <c r="O288" s="19">
        <f t="shared" si="25"/>
        <v>0</v>
      </c>
      <c r="P288" s="48"/>
      <c r="Q288" s="48"/>
    </row>
    <row r="289" spans="1:26">
      <c r="A289" s="157" t="s">
        <v>340</v>
      </c>
      <c r="B289" s="244">
        <v>0</v>
      </c>
      <c r="C289" s="62">
        <v>12250</v>
      </c>
      <c r="D289" s="60">
        <v>7875</v>
      </c>
      <c r="E289" s="101">
        <v>11725</v>
      </c>
      <c r="F289" s="60">
        <v>2100</v>
      </c>
      <c r="G289" s="60">
        <v>220</v>
      </c>
      <c r="H289" s="60"/>
      <c r="I289" s="60" t="s">
        <v>401</v>
      </c>
      <c r="J289" s="60"/>
      <c r="K289" s="53">
        <v>5000</v>
      </c>
      <c r="L289" s="19">
        <f t="shared" si="24"/>
        <v>0</v>
      </c>
      <c r="M289" s="19">
        <f t="shared" si="15"/>
        <v>0</v>
      </c>
      <c r="N289" s="19">
        <f t="shared" si="16"/>
        <v>0</v>
      </c>
      <c r="O289" s="19">
        <f t="shared" si="25"/>
        <v>0</v>
      </c>
      <c r="P289" s="48"/>
      <c r="Q289" s="48"/>
    </row>
    <row r="290" spans="1:26">
      <c r="A290" s="158" t="s">
        <v>341</v>
      </c>
      <c r="B290" s="244">
        <v>0</v>
      </c>
      <c r="C290" s="62">
        <v>7000</v>
      </c>
      <c r="D290" s="60">
        <v>4500</v>
      </c>
      <c r="E290" s="101">
        <v>6700</v>
      </c>
      <c r="F290" s="60">
        <v>1200</v>
      </c>
      <c r="G290" s="60">
        <v>220</v>
      </c>
      <c r="H290" s="60"/>
      <c r="I290" s="60" t="s">
        <v>401</v>
      </c>
      <c r="J290" s="60"/>
      <c r="K290" s="53">
        <v>5000</v>
      </c>
      <c r="L290" s="19">
        <f t="shared" si="24"/>
        <v>0</v>
      </c>
      <c r="M290" s="19">
        <f t="shared" si="15"/>
        <v>0</v>
      </c>
      <c r="N290" s="19">
        <f t="shared" si="16"/>
        <v>0</v>
      </c>
      <c r="O290" s="19">
        <f t="shared" si="25"/>
        <v>0</v>
      </c>
      <c r="P290" s="48"/>
      <c r="Q290" s="48" t="s">
        <v>342</v>
      </c>
    </row>
    <row r="291" spans="1:26">
      <c r="A291" s="158" t="s">
        <v>343</v>
      </c>
      <c r="B291" s="244">
        <v>0</v>
      </c>
      <c r="C291" s="62">
        <v>15000</v>
      </c>
      <c r="D291" s="60">
        <v>12000</v>
      </c>
      <c r="E291" s="101">
        <v>14000</v>
      </c>
      <c r="F291" s="60">
        <v>2500</v>
      </c>
      <c r="G291" s="60">
        <v>220</v>
      </c>
      <c r="H291" s="60"/>
      <c r="I291" s="60" t="s">
        <v>401</v>
      </c>
      <c r="J291" s="60"/>
      <c r="K291" s="53">
        <v>5000</v>
      </c>
      <c r="L291" s="19">
        <f t="shared" si="24"/>
        <v>0</v>
      </c>
      <c r="M291" s="19">
        <f t="shared" si="15"/>
        <v>0</v>
      </c>
      <c r="N291" s="19">
        <f t="shared" si="16"/>
        <v>0</v>
      </c>
      <c r="O291" s="19">
        <f t="shared" si="25"/>
        <v>0</v>
      </c>
      <c r="P291" s="48" t="s">
        <v>91</v>
      </c>
      <c r="Q291" s="48" t="s">
        <v>344</v>
      </c>
      <c r="T291" s="27"/>
      <c r="U291" s="546"/>
      <c r="V291" s="546"/>
      <c r="W291" s="546"/>
      <c r="X291" s="546"/>
      <c r="Y291" s="546"/>
      <c r="Z291" s="546"/>
    </row>
    <row r="292" spans="1:26" ht="15.75" thickBot="1">
      <c r="A292" s="159" t="s">
        <v>345</v>
      </c>
      <c r="B292" s="245">
        <v>0</v>
      </c>
      <c r="C292" s="63">
        <v>40000</v>
      </c>
      <c r="D292" s="59">
        <v>33000</v>
      </c>
      <c r="E292" s="102">
        <v>40000</v>
      </c>
      <c r="F292" s="59">
        <v>1200</v>
      </c>
      <c r="G292" s="59">
        <v>220</v>
      </c>
      <c r="H292" s="59"/>
      <c r="I292" s="59" t="s">
        <v>401</v>
      </c>
      <c r="J292" s="59"/>
      <c r="K292" s="54">
        <v>5000</v>
      </c>
      <c r="L292" s="21">
        <f t="shared" si="24"/>
        <v>0</v>
      </c>
      <c r="M292" s="21">
        <f t="shared" si="15"/>
        <v>0</v>
      </c>
      <c r="N292" s="21">
        <f t="shared" si="16"/>
        <v>0</v>
      </c>
      <c r="O292" s="21">
        <f t="shared" si="25"/>
        <v>0</v>
      </c>
      <c r="P292" s="55" t="s">
        <v>104</v>
      </c>
      <c r="Q292" s="55"/>
      <c r="T292" s="27"/>
      <c r="U292" s="546"/>
      <c r="V292" s="546"/>
      <c r="W292" s="546"/>
      <c r="X292" s="546"/>
      <c r="Y292" s="546"/>
      <c r="Z292" s="546"/>
    </row>
    <row r="293" spans="1:26">
      <c r="A293" s="154" t="s">
        <v>672</v>
      </c>
      <c r="B293" s="243">
        <v>0</v>
      </c>
      <c r="C293" s="168">
        <v>5100</v>
      </c>
      <c r="D293" s="169">
        <v>5600</v>
      </c>
      <c r="E293" s="170">
        <v>6400</v>
      </c>
      <c r="F293" s="169"/>
      <c r="G293" s="70">
        <v>140</v>
      </c>
      <c r="H293" s="70"/>
      <c r="I293" s="70" t="s">
        <v>400</v>
      </c>
      <c r="J293" s="169">
        <v>120</v>
      </c>
      <c r="K293" s="52">
        <v>8000</v>
      </c>
      <c r="L293" s="41">
        <f t="shared" si="24"/>
        <v>0</v>
      </c>
      <c r="M293" s="42">
        <f t="shared" si="15"/>
        <v>0</v>
      </c>
      <c r="N293" s="42">
        <f t="shared" si="16"/>
        <v>0</v>
      </c>
      <c r="O293" s="43">
        <f t="shared" si="25"/>
        <v>0</v>
      </c>
      <c r="P293" s="172"/>
      <c r="Q293" s="172"/>
      <c r="T293" s="27"/>
      <c r="U293" s="546"/>
      <c r="V293" s="546"/>
      <c r="W293" s="546"/>
      <c r="X293" s="546"/>
      <c r="Y293" s="546"/>
      <c r="Z293" s="546"/>
    </row>
    <row r="294" spans="1:26">
      <c r="A294" s="155" t="s">
        <v>614</v>
      </c>
      <c r="B294" s="244">
        <v>0</v>
      </c>
      <c r="C294" s="80">
        <v>7550</v>
      </c>
      <c r="D294" s="45">
        <v>8400</v>
      </c>
      <c r="E294" s="99">
        <v>9600</v>
      </c>
      <c r="F294" s="45"/>
      <c r="G294" s="60">
        <v>180</v>
      </c>
      <c r="H294" s="60"/>
      <c r="I294" s="60" t="s">
        <v>400</v>
      </c>
      <c r="J294" s="45">
        <v>120</v>
      </c>
      <c r="K294" s="53">
        <v>8000</v>
      </c>
      <c r="L294" s="46">
        <f t="shared" si="24"/>
        <v>0</v>
      </c>
      <c r="M294" s="19">
        <f t="shared" si="15"/>
        <v>0</v>
      </c>
      <c r="N294" s="19">
        <f t="shared" si="16"/>
        <v>0</v>
      </c>
      <c r="O294" s="20">
        <f t="shared" si="25"/>
        <v>0</v>
      </c>
      <c r="P294" s="47"/>
      <c r="Q294" s="47"/>
      <c r="T294" s="27"/>
      <c r="U294" s="546"/>
      <c r="V294" s="546"/>
      <c r="W294" s="546"/>
      <c r="X294" s="546"/>
      <c r="Y294" s="546"/>
      <c r="Z294" s="546"/>
    </row>
    <row r="295" spans="1:26">
      <c r="A295" s="157" t="s">
        <v>615</v>
      </c>
      <c r="B295" s="244">
        <v>0</v>
      </c>
      <c r="C295" s="80">
        <v>10200</v>
      </c>
      <c r="D295" s="45">
        <v>11200</v>
      </c>
      <c r="E295" s="99">
        <v>12800</v>
      </c>
      <c r="F295" s="45"/>
      <c r="G295" s="60">
        <v>180</v>
      </c>
      <c r="H295" s="60"/>
      <c r="I295" s="60" t="s">
        <v>400</v>
      </c>
      <c r="J295" s="45">
        <v>120</v>
      </c>
      <c r="K295" s="53">
        <v>8000</v>
      </c>
      <c r="L295" s="46">
        <f t="shared" si="24"/>
        <v>0</v>
      </c>
      <c r="M295" s="19">
        <f t="shared" si="15"/>
        <v>0</v>
      </c>
      <c r="N295" s="19">
        <f t="shared" si="16"/>
        <v>0</v>
      </c>
      <c r="O295" s="20">
        <f t="shared" si="25"/>
        <v>0</v>
      </c>
      <c r="P295" s="47"/>
      <c r="Q295" s="47"/>
    </row>
    <row r="296" spans="1:26">
      <c r="A296" s="158" t="s">
        <v>616</v>
      </c>
      <c r="B296" s="244">
        <v>0</v>
      </c>
      <c r="C296" s="80">
        <v>15300</v>
      </c>
      <c r="D296" s="45">
        <v>16800</v>
      </c>
      <c r="E296" s="99">
        <v>19200</v>
      </c>
      <c r="F296" s="45"/>
      <c r="G296" s="60">
        <v>180</v>
      </c>
      <c r="H296" s="60"/>
      <c r="I296" s="60" t="s">
        <v>400</v>
      </c>
      <c r="J296" s="45">
        <v>120</v>
      </c>
      <c r="K296" s="53">
        <v>8000</v>
      </c>
      <c r="L296" s="46">
        <f t="shared" si="24"/>
        <v>0</v>
      </c>
      <c r="M296" s="19">
        <f t="shared" si="15"/>
        <v>0</v>
      </c>
      <c r="N296" s="19">
        <f t="shared" si="16"/>
        <v>0</v>
      </c>
      <c r="O296" s="20">
        <f t="shared" si="25"/>
        <v>0</v>
      </c>
      <c r="P296" s="47"/>
      <c r="Q296" s="47"/>
    </row>
    <row r="297" spans="1:26" ht="15.75" thickBot="1">
      <c r="A297" s="652" t="s">
        <v>617</v>
      </c>
      <c r="B297" s="245">
        <v>0</v>
      </c>
      <c r="C297" s="81">
        <v>20400</v>
      </c>
      <c r="D297" s="49">
        <v>22400</v>
      </c>
      <c r="E297" s="100">
        <v>25600</v>
      </c>
      <c r="F297" s="45"/>
      <c r="G297" s="60">
        <v>180</v>
      </c>
      <c r="H297" s="60"/>
      <c r="I297" s="60" t="s">
        <v>400</v>
      </c>
      <c r="J297" s="45">
        <v>120</v>
      </c>
      <c r="K297" s="53">
        <v>8000</v>
      </c>
      <c r="L297" s="50">
        <f t="shared" si="24"/>
        <v>0</v>
      </c>
      <c r="M297" s="21">
        <f t="shared" si="15"/>
        <v>0</v>
      </c>
      <c r="N297" s="21">
        <f t="shared" si="16"/>
        <v>0</v>
      </c>
      <c r="O297" s="22">
        <f t="shared" si="25"/>
        <v>0</v>
      </c>
      <c r="P297" s="51"/>
      <c r="Q297" s="51"/>
    </row>
    <row r="298" spans="1:26">
      <c r="A298" s="154" t="s">
        <v>921</v>
      </c>
      <c r="B298" s="243">
        <v>0</v>
      </c>
      <c r="C298" s="168">
        <v>12000</v>
      </c>
      <c r="D298" s="169">
        <v>10000</v>
      </c>
      <c r="E298" s="170">
        <v>17000</v>
      </c>
      <c r="F298" s="169"/>
      <c r="G298" s="70">
        <v>200</v>
      </c>
      <c r="H298" s="70"/>
      <c r="I298" s="70" t="s">
        <v>401</v>
      </c>
      <c r="J298" s="169">
        <v>500</v>
      </c>
      <c r="K298" s="52">
        <v>15000</v>
      </c>
      <c r="L298" s="41">
        <f t="shared" si="24"/>
        <v>0</v>
      </c>
      <c r="M298" s="42">
        <f t="shared" si="15"/>
        <v>0</v>
      </c>
      <c r="N298" s="42">
        <f t="shared" si="16"/>
        <v>0</v>
      </c>
      <c r="O298" s="43">
        <f t="shared" si="25"/>
        <v>0</v>
      </c>
      <c r="P298" s="172"/>
      <c r="Q298" s="172"/>
    </row>
    <row r="299" spans="1:26">
      <c r="A299" s="155" t="s">
        <v>620</v>
      </c>
      <c r="B299" s="244">
        <v>0</v>
      </c>
      <c r="C299" s="80">
        <v>12000</v>
      </c>
      <c r="D299" s="45">
        <v>10000</v>
      </c>
      <c r="E299" s="99">
        <v>17000</v>
      </c>
      <c r="F299" s="45"/>
      <c r="G299" s="60">
        <v>250</v>
      </c>
      <c r="H299" s="60"/>
      <c r="I299" s="60" t="s">
        <v>401</v>
      </c>
      <c r="J299" s="45">
        <v>500</v>
      </c>
      <c r="K299" s="53">
        <v>15000</v>
      </c>
      <c r="L299" s="46">
        <f t="shared" si="24"/>
        <v>0</v>
      </c>
      <c r="M299" s="19">
        <f t="shared" si="15"/>
        <v>0</v>
      </c>
      <c r="N299" s="19">
        <f t="shared" si="16"/>
        <v>0</v>
      </c>
      <c r="O299" s="20">
        <f t="shared" si="25"/>
        <v>0</v>
      </c>
      <c r="P299" s="47"/>
      <c r="Q299" s="47"/>
    </row>
    <row r="300" spans="1:26">
      <c r="A300" s="157" t="s">
        <v>621</v>
      </c>
      <c r="B300" s="244">
        <v>0</v>
      </c>
      <c r="C300" s="80">
        <v>14000</v>
      </c>
      <c r="D300" s="45">
        <v>11000</v>
      </c>
      <c r="E300" s="99">
        <v>21000</v>
      </c>
      <c r="F300" s="45"/>
      <c r="G300" s="60">
        <v>250</v>
      </c>
      <c r="H300" s="60"/>
      <c r="I300" s="60" t="s">
        <v>401</v>
      </c>
      <c r="J300" s="45">
        <v>500</v>
      </c>
      <c r="K300" s="53">
        <v>15000</v>
      </c>
      <c r="L300" s="46">
        <f t="shared" si="24"/>
        <v>0</v>
      </c>
      <c r="M300" s="19">
        <f t="shared" si="15"/>
        <v>0</v>
      </c>
      <c r="N300" s="19">
        <f t="shared" si="16"/>
        <v>0</v>
      </c>
      <c r="O300" s="20">
        <f t="shared" si="25"/>
        <v>0</v>
      </c>
      <c r="P300" s="47"/>
      <c r="Q300" s="47"/>
    </row>
    <row r="301" spans="1:26">
      <c r="A301" s="158" t="s">
        <v>622</v>
      </c>
      <c r="B301" s="244">
        <v>0</v>
      </c>
      <c r="C301" s="80">
        <v>15000</v>
      </c>
      <c r="D301" s="45">
        <v>14000</v>
      </c>
      <c r="E301" s="99">
        <v>26000</v>
      </c>
      <c r="F301" s="45"/>
      <c r="G301" s="60">
        <v>250</v>
      </c>
      <c r="H301" s="60"/>
      <c r="I301" s="60" t="s">
        <v>401</v>
      </c>
      <c r="J301" s="45">
        <v>500</v>
      </c>
      <c r="K301" s="53">
        <v>15000</v>
      </c>
      <c r="L301" s="46">
        <f t="shared" si="24"/>
        <v>0</v>
      </c>
      <c r="M301" s="19">
        <f t="shared" si="15"/>
        <v>0</v>
      </c>
      <c r="N301" s="19">
        <f t="shared" si="16"/>
        <v>0</v>
      </c>
      <c r="O301" s="20">
        <f t="shared" si="25"/>
        <v>0</v>
      </c>
      <c r="P301" s="47"/>
      <c r="Q301" s="47"/>
    </row>
    <row r="302" spans="1:26" ht="15.75" thickBot="1">
      <c r="A302" s="159" t="s">
        <v>623</v>
      </c>
      <c r="B302" s="245">
        <v>0</v>
      </c>
      <c r="C302" s="81">
        <v>25000</v>
      </c>
      <c r="D302" s="49">
        <v>20000</v>
      </c>
      <c r="E302" s="100">
        <v>34000</v>
      </c>
      <c r="F302" s="49"/>
      <c r="G302" s="59">
        <v>250</v>
      </c>
      <c r="H302" s="59"/>
      <c r="I302" s="59" t="s">
        <v>401</v>
      </c>
      <c r="J302" s="49">
        <v>500</v>
      </c>
      <c r="K302" s="53">
        <v>15000</v>
      </c>
      <c r="L302" s="50">
        <f t="shared" si="24"/>
        <v>0</v>
      </c>
      <c r="M302" s="21">
        <f t="shared" si="15"/>
        <v>0</v>
      </c>
      <c r="N302" s="21">
        <f t="shared" si="16"/>
        <v>0</v>
      </c>
      <c r="O302" s="22">
        <f t="shared" si="25"/>
        <v>0</v>
      </c>
      <c r="P302" s="51"/>
      <c r="Q302" s="51"/>
    </row>
    <row r="303" spans="1:26">
      <c r="A303" s="154" t="s">
        <v>920</v>
      </c>
      <c r="B303" s="243">
        <v>0</v>
      </c>
      <c r="C303" s="168">
        <v>3000</v>
      </c>
      <c r="D303" s="169">
        <v>3000</v>
      </c>
      <c r="E303" s="170">
        <v>2800</v>
      </c>
      <c r="F303" s="168">
        <v>300</v>
      </c>
      <c r="G303" s="70">
        <v>80</v>
      </c>
      <c r="H303" s="70"/>
      <c r="I303" s="70" t="s">
        <v>399</v>
      </c>
      <c r="J303" s="169">
        <v>1</v>
      </c>
      <c r="K303" s="52">
        <v>7200</v>
      </c>
      <c r="L303" s="41">
        <f t="shared" si="24"/>
        <v>0</v>
      </c>
      <c r="M303" s="42">
        <f t="shared" si="15"/>
        <v>0</v>
      </c>
      <c r="N303" s="42">
        <f t="shared" si="16"/>
        <v>0</v>
      </c>
      <c r="O303" s="43">
        <f t="shared" si="25"/>
        <v>0</v>
      </c>
      <c r="P303" s="57"/>
      <c r="Q303" s="57" t="s">
        <v>221</v>
      </c>
    </row>
    <row r="304" spans="1:26">
      <c r="A304" s="155" t="s">
        <v>609</v>
      </c>
      <c r="B304" s="244">
        <v>0</v>
      </c>
      <c r="C304" s="80">
        <v>3000</v>
      </c>
      <c r="D304" s="45">
        <v>3000</v>
      </c>
      <c r="E304" s="99">
        <v>4200</v>
      </c>
      <c r="F304" s="80">
        <v>300</v>
      </c>
      <c r="G304" s="60">
        <v>100</v>
      </c>
      <c r="H304" s="60"/>
      <c r="I304" s="60" t="s">
        <v>399</v>
      </c>
      <c r="J304" s="45"/>
      <c r="K304" s="53">
        <v>7200</v>
      </c>
      <c r="L304" s="46">
        <f t="shared" si="24"/>
        <v>0</v>
      </c>
      <c r="M304" s="19">
        <f t="shared" si="15"/>
        <v>0</v>
      </c>
      <c r="N304" s="19">
        <f t="shared" si="16"/>
        <v>0</v>
      </c>
      <c r="O304" s="20">
        <f t="shared" si="25"/>
        <v>0</v>
      </c>
      <c r="P304" s="48"/>
      <c r="Q304" s="48" t="s">
        <v>221</v>
      </c>
    </row>
    <row r="305" spans="1:17">
      <c r="A305" s="157" t="s">
        <v>610</v>
      </c>
      <c r="B305" s="244">
        <v>0</v>
      </c>
      <c r="C305" s="80">
        <v>6000</v>
      </c>
      <c r="D305" s="45">
        <v>5000</v>
      </c>
      <c r="E305" s="99">
        <v>5600</v>
      </c>
      <c r="F305" s="80"/>
      <c r="G305" s="60">
        <v>100</v>
      </c>
      <c r="H305" s="60"/>
      <c r="I305" s="60" t="s">
        <v>399</v>
      </c>
      <c r="J305" s="45"/>
      <c r="K305" s="53">
        <v>7200</v>
      </c>
      <c r="L305" s="46">
        <f t="shared" si="24"/>
        <v>0</v>
      </c>
      <c r="M305" s="19">
        <f t="shared" si="15"/>
        <v>0</v>
      </c>
      <c r="N305" s="19">
        <f t="shared" si="16"/>
        <v>0</v>
      </c>
      <c r="O305" s="20">
        <f t="shared" si="25"/>
        <v>0</v>
      </c>
      <c r="P305" s="48"/>
      <c r="Q305" s="48"/>
    </row>
    <row r="306" spans="1:17">
      <c r="A306" s="158" t="s">
        <v>611</v>
      </c>
      <c r="B306" s="244">
        <v>0</v>
      </c>
      <c r="C306" s="80">
        <v>3000</v>
      </c>
      <c r="D306" s="45">
        <v>3000</v>
      </c>
      <c r="E306" s="99">
        <v>8400</v>
      </c>
      <c r="F306" s="80">
        <v>900</v>
      </c>
      <c r="G306" s="60">
        <v>100</v>
      </c>
      <c r="H306" s="60"/>
      <c r="I306" s="60" t="s">
        <v>399</v>
      </c>
      <c r="J306" s="45"/>
      <c r="K306" s="53">
        <v>7200</v>
      </c>
      <c r="L306" s="46">
        <f t="shared" si="24"/>
        <v>0</v>
      </c>
      <c r="M306" s="19">
        <f t="shared" si="15"/>
        <v>0</v>
      </c>
      <c r="N306" s="19">
        <f t="shared" si="16"/>
        <v>0</v>
      </c>
      <c r="O306" s="20">
        <f t="shared" si="25"/>
        <v>0</v>
      </c>
      <c r="P306" s="48"/>
      <c r="Q306" s="48" t="s">
        <v>212</v>
      </c>
    </row>
    <row r="307" spans="1:17" ht="15.75" thickBot="1">
      <c r="A307" s="159" t="s">
        <v>612</v>
      </c>
      <c r="B307" s="245">
        <v>0</v>
      </c>
      <c r="C307" s="81">
        <v>3000</v>
      </c>
      <c r="D307" s="49">
        <v>3000</v>
      </c>
      <c r="E307" s="100">
        <v>32800</v>
      </c>
      <c r="F307" s="81">
        <v>5000</v>
      </c>
      <c r="G307" s="59">
        <v>100</v>
      </c>
      <c r="H307" s="59"/>
      <c r="I307" s="59" t="s">
        <v>399</v>
      </c>
      <c r="J307" s="49"/>
      <c r="K307" s="54">
        <v>7200</v>
      </c>
      <c r="L307" s="50">
        <f t="shared" si="24"/>
        <v>0</v>
      </c>
      <c r="M307" s="21">
        <f t="shared" si="15"/>
        <v>0</v>
      </c>
      <c r="N307" s="21">
        <f t="shared" si="16"/>
        <v>0</v>
      </c>
      <c r="O307" s="22">
        <f t="shared" si="25"/>
        <v>0</v>
      </c>
      <c r="P307" s="55" t="s">
        <v>613</v>
      </c>
      <c r="Q307" s="55" t="s">
        <v>358</v>
      </c>
    </row>
    <row r="308" spans="1:17">
      <c r="A308" s="154" t="s">
        <v>919</v>
      </c>
      <c r="B308" s="243">
        <v>0</v>
      </c>
      <c r="C308" s="39">
        <v>10100</v>
      </c>
      <c r="D308" s="40">
        <v>9200</v>
      </c>
      <c r="E308" s="52">
        <v>9100</v>
      </c>
      <c r="F308" s="40"/>
      <c r="G308" s="70">
        <v>130</v>
      </c>
      <c r="H308" s="70">
        <v>250</v>
      </c>
      <c r="I308" s="70" t="s">
        <v>402</v>
      </c>
      <c r="J308" s="40"/>
      <c r="K308" s="52">
        <v>10000</v>
      </c>
      <c r="L308" s="42">
        <f t="shared" si="24"/>
        <v>0</v>
      </c>
      <c r="M308" s="42">
        <f t="shared" si="15"/>
        <v>0</v>
      </c>
      <c r="N308" s="42">
        <f t="shared" si="16"/>
        <v>0</v>
      </c>
      <c r="O308" s="42">
        <f t="shared" si="25"/>
        <v>0</v>
      </c>
      <c r="P308" s="38"/>
      <c r="Q308" s="44"/>
    </row>
    <row r="309" spans="1:17">
      <c r="A309" s="155" t="s">
        <v>346</v>
      </c>
      <c r="B309" s="244">
        <v>0</v>
      </c>
      <c r="C309" s="62">
        <v>8100</v>
      </c>
      <c r="D309" s="60">
        <v>7200</v>
      </c>
      <c r="E309" s="101">
        <v>11111</v>
      </c>
      <c r="F309" s="60"/>
      <c r="G309" s="60">
        <v>350</v>
      </c>
      <c r="H309" s="60"/>
      <c r="I309" s="60" t="s">
        <v>396</v>
      </c>
      <c r="J309" s="60">
        <v>425</v>
      </c>
      <c r="K309" s="53">
        <v>10000</v>
      </c>
      <c r="L309" s="19">
        <f t="shared" si="24"/>
        <v>0</v>
      </c>
      <c r="M309" s="19">
        <f t="shared" si="15"/>
        <v>0</v>
      </c>
      <c r="N309" s="19">
        <f t="shared" si="16"/>
        <v>0</v>
      </c>
      <c r="O309" s="19">
        <f t="shared" si="25"/>
        <v>0</v>
      </c>
      <c r="P309" s="48"/>
      <c r="Q309" s="26"/>
    </row>
    <row r="310" spans="1:17">
      <c r="A310" s="155" t="s">
        <v>347</v>
      </c>
      <c r="B310" s="244">
        <v>0</v>
      </c>
      <c r="C310" s="62">
        <v>10100</v>
      </c>
      <c r="D310" s="60">
        <v>9200</v>
      </c>
      <c r="E310" s="101">
        <v>7800</v>
      </c>
      <c r="F310" s="60"/>
      <c r="G310" s="60">
        <v>350</v>
      </c>
      <c r="H310" s="60"/>
      <c r="I310" s="60" t="s">
        <v>396</v>
      </c>
      <c r="J310" s="60"/>
      <c r="K310" s="53">
        <v>10000</v>
      </c>
      <c r="L310" s="19">
        <f t="shared" si="24"/>
        <v>0</v>
      </c>
      <c r="M310" s="19">
        <f t="shared" si="15"/>
        <v>0</v>
      </c>
      <c r="N310" s="19">
        <f t="shared" si="16"/>
        <v>0</v>
      </c>
      <c r="O310" s="19">
        <f t="shared" si="25"/>
        <v>0</v>
      </c>
      <c r="P310" s="48" t="s">
        <v>88</v>
      </c>
      <c r="Q310" s="26"/>
    </row>
    <row r="311" spans="1:17">
      <c r="A311" s="157" t="s">
        <v>348</v>
      </c>
      <c r="B311" s="244">
        <v>0</v>
      </c>
      <c r="C311" s="62">
        <v>10000</v>
      </c>
      <c r="D311" s="60">
        <v>10000</v>
      </c>
      <c r="E311" s="101">
        <v>10000</v>
      </c>
      <c r="F311" s="60"/>
      <c r="G311" s="60">
        <v>350</v>
      </c>
      <c r="H311" s="60"/>
      <c r="I311" s="60" t="s">
        <v>396</v>
      </c>
      <c r="J311" s="60"/>
      <c r="K311" s="53">
        <v>10000</v>
      </c>
      <c r="L311" s="19">
        <f t="shared" si="24"/>
        <v>0</v>
      </c>
      <c r="M311" s="19">
        <f t="shared" si="15"/>
        <v>0</v>
      </c>
      <c r="N311" s="19">
        <f t="shared" si="16"/>
        <v>0</v>
      </c>
      <c r="O311" s="19">
        <f t="shared" si="25"/>
        <v>0</v>
      </c>
      <c r="P311" s="48"/>
      <c r="Q311" s="26"/>
    </row>
    <row r="312" spans="1:17" ht="15.75" thickBot="1">
      <c r="A312" s="158" t="s">
        <v>349</v>
      </c>
      <c r="B312" s="244">
        <v>0</v>
      </c>
      <c r="C312" s="62">
        <v>20000</v>
      </c>
      <c r="D312" s="60">
        <v>18000</v>
      </c>
      <c r="E312" s="101">
        <v>16000</v>
      </c>
      <c r="F312" s="60"/>
      <c r="G312" s="60">
        <v>350</v>
      </c>
      <c r="H312" s="60"/>
      <c r="I312" s="60" t="s">
        <v>402</v>
      </c>
      <c r="J312" s="60"/>
      <c r="K312" s="53">
        <v>10000</v>
      </c>
      <c r="L312" s="19">
        <f t="shared" si="24"/>
        <v>0</v>
      </c>
      <c r="M312" s="19">
        <f t="shared" si="15"/>
        <v>0</v>
      </c>
      <c r="N312" s="19">
        <f t="shared" si="16"/>
        <v>0</v>
      </c>
      <c r="O312" s="19">
        <f t="shared" si="25"/>
        <v>0</v>
      </c>
      <c r="P312" s="48" t="s">
        <v>88</v>
      </c>
      <c r="Q312" s="26"/>
    </row>
    <row r="313" spans="1:17">
      <c r="A313" s="154" t="s">
        <v>918</v>
      </c>
      <c r="B313" s="243">
        <v>0</v>
      </c>
      <c r="C313" s="39">
        <v>1000</v>
      </c>
      <c r="D313" s="40">
        <v>980</v>
      </c>
      <c r="E313" s="52">
        <v>950</v>
      </c>
      <c r="F313" s="40"/>
      <c r="G313" s="70">
        <v>30</v>
      </c>
      <c r="H313" s="70">
        <v>60</v>
      </c>
      <c r="I313" s="70" t="s">
        <v>402</v>
      </c>
      <c r="J313" s="40">
        <v>200</v>
      </c>
      <c r="K313" s="52">
        <v>2000</v>
      </c>
      <c r="L313" s="42">
        <f t="shared" ref="L313:L325" si="26">$B313*C313</f>
        <v>0</v>
      </c>
      <c r="M313" s="42">
        <f t="shared" si="15"/>
        <v>0</v>
      </c>
      <c r="N313" s="42">
        <f t="shared" si="16"/>
        <v>0</v>
      </c>
      <c r="O313" s="42">
        <f t="shared" ref="O313:O330" si="27">$B313*K313</f>
        <v>0</v>
      </c>
      <c r="P313" s="38"/>
      <c r="Q313" s="44"/>
    </row>
    <row r="314" spans="1:17">
      <c r="A314" s="155" t="s">
        <v>258</v>
      </c>
      <c r="B314" s="244">
        <v>0</v>
      </c>
      <c r="C314" s="62">
        <v>1300</v>
      </c>
      <c r="D314" s="60">
        <v>1180</v>
      </c>
      <c r="E314" s="101">
        <v>1150</v>
      </c>
      <c r="F314" s="60"/>
      <c r="G314" s="60">
        <v>100</v>
      </c>
      <c r="H314" s="60"/>
      <c r="I314" s="60" t="s">
        <v>396</v>
      </c>
      <c r="J314" s="60">
        <v>200</v>
      </c>
      <c r="K314" s="53">
        <v>2000</v>
      </c>
      <c r="L314" s="19">
        <f t="shared" si="26"/>
        <v>0</v>
      </c>
      <c r="M314" s="19">
        <f t="shared" si="15"/>
        <v>0</v>
      </c>
      <c r="N314" s="19">
        <f t="shared" si="16"/>
        <v>0</v>
      </c>
      <c r="O314" s="19">
        <f t="shared" si="27"/>
        <v>0</v>
      </c>
      <c r="P314" s="48"/>
      <c r="Q314" s="47"/>
    </row>
    <row r="315" spans="1:17">
      <c r="A315" s="157" t="s">
        <v>259</v>
      </c>
      <c r="B315" s="244">
        <v>0</v>
      </c>
      <c r="C315" s="62">
        <v>1750</v>
      </c>
      <c r="D315" s="60">
        <v>1750</v>
      </c>
      <c r="E315" s="101">
        <v>1550</v>
      </c>
      <c r="F315" s="60"/>
      <c r="G315" s="60">
        <v>100</v>
      </c>
      <c r="H315" s="60"/>
      <c r="I315" s="60" t="s">
        <v>396</v>
      </c>
      <c r="J315" s="60"/>
      <c r="K315" s="53">
        <v>2000</v>
      </c>
      <c r="L315" s="19">
        <f t="shared" si="26"/>
        <v>0</v>
      </c>
      <c r="M315" s="19">
        <f t="shared" si="15"/>
        <v>0</v>
      </c>
      <c r="N315" s="19">
        <f t="shared" si="16"/>
        <v>0</v>
      </c>
      <c r="O315" s="19">
        <f t="shared" si="27"/>
        <v>0</v>
      </c>
      <c r="P315" s="48"/>
      <c r="Q315" s="47"/>
    </row>
    <row r="316" spans="1:17">
      <c r="A316" s="157" t="s">
        <v>260</v>
      </c>
      <c r="B316" s="244">
        <v>0</v>
      </c>
      <c r="C316" s="62">
        <v>2000</v>
      </c>
      <c r="D316" s="60">
        <v>1580</v>
      </c>
      <c r="E316" s="101">
        <v>1550</v>
      </c>
      <c r="F316" s="60"/>
      <c r="G316" s="60">
        <v>100</v>
      </c>
      <c r="H316" s="60"/>
      <c r="I316" s="60" t="s">
        <v>396</v>
      </c>
      <c r="J316" s="60"/>
      <c r="K316" s="53">
        <v>2000</v>
      </c>
      <c r="L316" s="19">
        <f t="shared" si="26"/>
        <v>0</v>
      </c>
      <c r="M316" s="19">
        <f t="shared" si="15"/>
        <v>0</v>
      </c>
      <c r="N316" s="19">
        <f t="shared" si="16"/>
        <v>0</v>
      </c>
      <c r="O316" s="19">
        <f t="shared" si="27"/>
        <v>0</v>
      </c>
      <c r="P316" s="48"/>
      <c r="Q316" s="47"/>
    </row>
    <row r="317" spans="1:17" ht="15.75" thickBot="1">
      <c r="A317" s="653" t="s">
        <v>261</v>
      </c>
      <c r="B317" s="245">
        <v>0</v>
      </c>
      <c r="C317" s="63">
        <v>2700</v>
      </c>
      <c r="D317" s="59">
        <v>2080</v>
      </c>
      <c r="E317" s="102">
        <v>2550</v>
      </c>
      <c r="F317" s="59"/>
      <c r="G317" s="59">
        <v>100</v>
      </c>
      <c r="H317" s="59"/>
      <c r="I317" s="59" t="s">
        <v>399</v>
      </c>
      <c r="J317" s="59"/>
      <c r="K317" s="54">
        <v>2000</v>
      </c>
      <c r="L317" s="21">
        <f t="shared" si="26"/>
        <v>0</v>
      </c>
      <c r="M317" s="21">
        <f t="shared" si="15"/>
        <v>0</v>
      </c>
      <c r="N317" s="21">
        <f t="shared" si="16"/>
        <v>0</v>
      </c>
      <c r="O317" s="21">
        <f t="shared" si="27"/>
        <v>0</v>
      </c>
      <c r="P317" s="55"/>
      <c r="Q317" s="51"/>
    </row>
    <row r="318" spans="1:17">
      <c r="A318" s="154" t="s">
        <v>917</v>
      </c>
      <c r="B318" s="257">
        <v>0</v>
      </c>
      <c r="C318" s="39">
        <v>200</v>
      </c>
      <c r="D318" s="40">
        <v>1000</v>
      </c>
      <c r="E318" s="52">
        <v>780</v>
      </c>
      <c r="F318" s="40">
        <v>36</v>
      </c>
      <c r="G318" s="70">
        <v>20</v>
      </c>
      <c r="H318" s="70">
        <v>50</v>
      </c>
      <c r="I318" s="70" t="s">
        <v>401</v>
      </c>
      <c r="J318" s="40">
        <v>65</v>
      </c>
      <c r="K318" s="52">
        <v>1300</v>
      </c>
      <c r="L318" s="42">
        <f t="shared" si="26"/>
        <v>0</v>
      </c>
      <c r="M318" s="42">
        <f t="shared" si="15"/>
        <v>0</v>
      </c>
      <c r="N318" s="42">
        <f t="shared" si="16"/>
        <v>0</v>
      </c>
      <c r="O318" s="42">
        <f t="shared" si="27"/>
        <v>0</v>
      </c>
      <c r="P318" s="38"/>
      <c r="Q318" s="44" t="s">
        <v>126</v>
      </c>
    </row>
    <row r="319" spans="1:17">
      <c r="A319" s="156" t="s">
        <v>277</v>
      </c>
      <c r="B319" s="258">
        <v>0</v>
      </c>
      <c r="C319" s="62">
        <v>1100</v>
      </c>
      <c r="D319" s="60">
        <v>1200</v>
      </c>
      <c r="E319" s="99">
        <v>950</v>
      </c>
      <c r="F319" s="45"/>
      <c r="G319" s="60">
        <v>95</v>
      </c>
      <c r="H319" s="60"/>
      <c r="I319" s="60" t="s">
        <v>401</v>
      </c>
      <c r="J319" s="45">
        <v>65</v>
      </c>
      <c r="K319" s="53">
        <v>1300</v>
      </c>
      <c r="L319" s="19">
        <f t="shared" si="26"/>
        <v>0</v>
      </c>
      <c r="M319" s="19">
        <f t="shared" si="15"/>
        <v>0</v>
      </c>
      <c r="N319" s="19">
        <f t="shared" si="16"/>
        <v>0</v>
      </c>
      <c r="O319" s="19">
        <f t="shared" si="27"/>
        <v>0</v>
      </c>
      <c r="P319" s="48"/>
      <c r="Q319" s="47"/>
    </row>
    <row r="320" spans="1:17">
      <c r="A320" s="156" t="s">
        <v>278</v>
      </c>
      <c r="B320" s="258">
        <v>0</v>
      </c>
      <c r="C320" s="80">
        <v>800</v>
      </c>
      <c r="D320" s="60">
        <v>1000</v>
      </c>
      <c r="E320" s="101">
        <v>1000</v>
      </c>
      <c r="F320" s="60">
        <v>360</v>
      </c>
      <c r="G320" s="60">
        <v>95</v>
      </c>
      <c r="H320" s="60"/>
      <c r="I320" s="60" t="s">
        <v>399</v>
      </c>
      <c r="J320" s="60"/>
      <c r="K320" s="53">
        <v>1300</v>
      </c>
      <c r="L320" s="19">
        <f t="shared" si="26"/>
        <v>0</v>
      </c>
      <c r="M320" s="19">
        <f t="shared" si="15"/>
        <v>0</v>
      </c>
      <c r="N320" s="19">
        <f t="shared" si="16"/>
        <v>0</v>
      </c>
      <c r="O320" s="19">
        <f t="shared" si="27"/>
        <v>0</v>
      </c>
      <c r="P320" s="48"/>
      <c r="Q320" s="47" t="s">
        <v>251</v>
      </c>
    </row>
    <row r="321" spans="1:17">
      <c r="A321" s="156" t="s">
        <v>279</v>
      </c>
      <c r="B321" s="258">
        <v>0</v>
      </c>
      <c r="C321" s="62">
        <v>1000</v>
      </c>
      <c r="D321" s="60">
        <v>1100</v>
      </c>
      <c r="E321" s="101">
        <v>1200</v>
      </c>
      <c r="F321" s="60"/>
      <c r="G321" s="60">
        <v>95</v>
      </c>
      <c r="H321" s="60"/>
      <c r="I321" s="60" t="s">
        <v>401</v>
      </c>
      <c r="J321" s="60"/>
      <c r="K321" s="53">
        <v>1300</v>
      </c>
      <c r="L321" s="19">
        <f t="shared" si="26"/>
        <v>0</v>
      </c>
      <c r="M321" s="19">
        <f t="shared" si="15"/>
        <v>0</v>
      </c>
      <c r="N321" s="19">
        <f t="shared" si="16"/>
        <v>0</v>
      </c>
      <c r="O321" s="19">
        <f t="shared" si="27"/>
        <v>0</v>
      </c>
      <c r="P321" s="48"/>
      <c r="Q321" s="47"/>
    </row>
    <row r="322" spans="1:17">
      <c r="A322" s="156" t="s">
        <v>280</v>
      </c>
      <c r="B322" s="258">
        <v>0</v>
      </c>
      <c r="C322" s="62">
        <v>1200</v>
      </c>
      <c r="D322" s="60">
        <v>1200</v>
      </c>
      <c r="E322" s="101">
        <v>1000</v>
      </c>
      <c r="F322" s="60"/>
      <c r="G322" s="60">
        <v>95</v>
      </c>
      <c r="H322" s="60"/>
      <c r="I322" s="60" t="s">
        <v>401</v>
      </c>
      <c r="J322" s="60"/>
      <c r="K322" s="53">
        <v>1300</v>
      </c>
      <c r="L322" s="19">
        <f t="shared" si="26"/>
        <v>0</v>
      </c>
      <c r="M322" s="19">
        <f t="shared" si="15"/>
        <v>0</v>
      </c>
      <c r="N322" s="19">
        <f t="shared" si="16"/>
        <v>0</v>
      </c>
      <c r="O322" s="19">
        <f t="shared" si="27"/>
        <v>0</v>
      </c>
      <c r="P322" s="48"/>
      <c r="Q322" s="47"/>
    </row>
    <row r="323" spans="1:17">
      <c r="A323" s="156" t="s">
        <v>281</v>
      </c>
      <c r="B323" s="258">
        <v>0</v>
      </c>
      <c r="C323" s="62">
        <v>1100</v>
      </c>
      <c r="D323" s="60">
        <v>1200</v>
      </c>
      <c r="E323" s="101">
        <v>1200</v>
      </c>
      <c r="F323" s="60"/>
      <c r="G323" s="60">
        <v>95</v>
      </c>
      <c r="H323" s="60"/>
      <c r="I323" s="60" t="s">
        <v>401</v>
      </c>
      <c r="J323" s="60"/>
      <c r="K323" s="53">
        <v>1300</v>
      </c>
      <c r="L323" s="19">
        <f t="shared" si="26"/>
        <v>0</v>
      </c>
      <c r="M323" s="19">
        <f t="shared" si="15"/>
        <v>0</v>
      </c>
      <c r="N323" s="19">
        <f t="shared" si="16"/>
        <v>0</v>
      </c>
      <c r="O323" s="19">
        <f t="shared" si="27"/>
        <v>0</v>
      </c>
      <c r="P323" s="48"/>
      <c r="Q323" s="47"/>
    </row>
    <row r="324" spans="1:17">
      <c r="A324" s="156" t="s">
        <v>282</v>
      </c>
      <c r="B324" s="258">
        <v>0</v>
      </c>
      <c r="C324" s="62">
        <v>1100</v>
      </c>
      <c r="D324" s="60">
        <v>1000</v>
      </c>
      <c r="E324" s="101">
        <v>1200</v>
      </c>
      <c r="F324" s="60"/>
      <c r="G324" s="60">
        <v>95</v>
      </c>
      <c r="H324" s="60"/>
      <c r="I324" s="60" t="s">
        <v>403</v>
      </c>
      <c r="J324" s="60"/>
      <c r="K324" s="53">
        <v>1300</v>
      </c>
      <c r="L324" s="19">
        <f t="shared" si="26"/>
        <v>0</v>
      </c>
      <c r="M324" s="19">
        <f t="shared" si="15"/>
        <v>0</v>
      </c>
      <c r="N324" s="19">
        <f t="shared" si="16"/>
        <v>0</v>
      </c>
      <c r="O324" s="19">
        <f t="shared" si="27"/>
        <v>0</v>
      </c>
      <c r="P324" s="48"/>
      <c r="Q324" s="47"/>
    </row>
    <row r="325" spans="1:17">
      <c r="A325" s="160" t="s">
        <v>283</v>
      </c>
      <c r="B325" s="258">
        <v>0</v>
      </c>
      <c r="C325" s="62">
        <v>1800</v>
      </c>
      <c r="D325" s="60">
        <v>1700</v>
      </c>
      <c r="E325" s="101">
        <v>1250</v>
      </c>
      <c r="F325" s="60"/>
      <c r="G325" s="60">
        <v>95</v>
      </c>
      <c r="H325" s="60"/>
      <c r="I325" s="60" t="s">
        <v>401</v>
      </c>
      <c r="J325" s="60"/>
      <c r="K325" s="53">
        <v>1300</v>
      </c>
      <c r="L325" s="19">
        <f t="shared" si="26"/>
        <v>0</v>
      </c>
      <c r="M325" s="19">
        <f t="shared" si="15"/>
        <v>0</v>
      </c>
      <c r="N325" s="19">
        <f t="shared" si="16"/>
        <v>0</v>
      </c>
      <c r="O325" s="19">
        <f t="shared" si="27"/>
        <v>0</v>
      </c>
      <c r="P325" s="48"/>
      <c r="Q325" s="47"/>
    </row>
    <row r="326" spans="1:17">
      <c r="A326" s="160" t="s">
        <v>284</v>
      </c>
      <c r="B326" s="258">
        <v>0</v>
      </c>
      <c r="C326" s="62">
        <v>1000</v>
      </c>
      <c r="D326" s="60">
        <v>1200</v>
      </c>
      <c r="E326" s="101">
        <v>1500</v>
      </c>
      <c r="F326" s="60">
        <v>450</v>
      </c>
      <c r="G326" s="60">
        <v>95</v>
      </c>
      <c r="H326" s="60"/>
      <c r="I326" s="60" t="s">
        <v>401</v>
      </c>
      <c r="J326" s="60"/>
      <c r="K326" s="53">
        <v>1300</v>
      </c>
      <c r="L326" s="19">
        <f t="shared" ref="L326:L331" si="28">$B326*C326</f>
        <v>0</v>
      </c>
      <c r="M326" s="19">
        <f t="shared" ref="M326:M331" si="29">$B326*D326</f>
        <v>0</v>
      </c>
      <c r="N326" s="19">
        <f t="shared" ref="N326:N331" si="30">$B326*E326</f>
        <v>0</v>
      </c>
      <c r="O326" s="19">
        <f t="shared" si="27"/>
        <v>0</v>
      </c>
      <c r="P326" s="48"/>
      <c r="Q326" s="47" t="s">
        <v>251</v>
      </c>
    </row>
    <row r="327" spans="1:17">
      <c r="A327" s="160" t="s">
        <v>285</v>
      </c>
      <c r="B327" s="258">
        <v>0</v>
      </c>
      <c r="C327" s="62">
        <v>1600</v>
      </c>
      <c r="D327" s="60">
        <v>1700</v>
      </c>
      <c r="E327" s="101">
        <v>1400</v>
      </c>
      <c r="F327" s="60"/>
      <c r="G327" s="60">
        <v>95</v>
      </c>
      <c r="H327" s="60"/>
      <c r="I327" s="60" t="s">
        <v>401</v>
      </c>
      <c r="J327" s="60"/>
      <c r="K327" s="53">
        <v>1300</v>
      </c>
      <c r="L327" s="19">
        <f t="shared" si="28"/>
        <v>0</v>
      </c>
      <c r="M327" s="19">
        <f t="shared" si="29"/>
        <v>0</v>
      </c>
      <c r="N327" s="19">
        <f t="shared" si="30"/>
        <v>0</v>
      </c>
      <c r="O327" s="19">
        <f t="shared" si="27"/>
        <v>0</v>
      </c>
      <c r="P327" s="48"/>
      <c r="Q327" s="47"/>
    </row>
    <row r="328" spans="1:17">
      <c r="A328" s="160" t="s">
        <v>286</v>
      </c>
      <c r="B328" s="258">
        <v>0</v>
      </c>
      <c r="C328" s="62">
        <v>1500</v>
      </c>
      <c r="D328" s="60">
        <v>1700</v>
      </c>
      <c r="E328" s="101">
        <v>1500</v>
      </c>
      <c r="F328" s="60"/>
      <c r="G328" s="60">
        <v>95</v>
      </c>
      <c r="H328" s="60"/>
      <c r="I328" s="60" t="s">
        <v>401</v>
      </c>
      <c r="J328" s="60"/>
      <c r="K328" s="53">
        <v>1300</v>
      </c>
      <c r="L328" s="19">
        <f t="shared" si="28"/>
        <v>0</v>
      </c>
      <c r="M328" s="19">
        <f t="shared" si="29"/>
        <v>0</v>
      </c>
      <c r="N328" s="19">
        <f t="shared" si="30"/>
        <v>0</v>
      </c>
      <c r="O328" s="19">
        <f t="shared" si="27"/>
        <v>0</v>
      </c>
      <c r="P328" s="48"/>
      <c r="Q328" s="47"/>
    </row>
    <row r="329" spans="1:17">
      <c r="A329" s="161" t="s">
        <v>287</v>
      </c>
      <c r="B329" s="258">
        <v>0</v>
      </c>
      <c r="C329" s="62">
        <v>2250</v>
      </c>
      <c r="D329" s="60">
        <v>2000</v>
      </c>
      <c r="E329" s="101">
        <v>2500</v>
      </c>
      <c r="F329" s="60"/>
      <c r="G329" s="60">
        <v>95</v>
      </c>
      <c r="H329" s="60"/>
      <c r="I329" s="60" t="s">
        <v>401</v>
      </c>
      <c r="J329" s="60"/>
      <c r="K329" s="53">
        <v>1300</v>
      </c>
      <c r="L329" s="19">
        <f t="shared" si="28"/>
        <v>0</v>
      </c>
      <c r="M329" s="19">
        <f t="shared" si="29"/>
        <v>0</v>
      </c>
      <c r="N329" s="19">
        <f t="shared" si="30"/>
        <v>0</v>
      </c>
      <c r="O329" s="19">
        <f t="shared" si="27"/>
        <v>0</v>
      </c>
      <c r="P329" s="48"/>
      <c r="Q329" s="47"/>
    </row>
    <row r="330" spans="1:17">
      <c r="A330" s="161" t="s">
        <v>288</v>
      </c>
      <c r="B330" s="258">
        <v>0</v>
      </c>
      <c r="C330" s="62">
        <v>2200</v>
      </c>
      <c r="D330" s="60">
        <v>2500</v>
      </c>
      <c r="E330" s="101">
        <v>2000</v>
      </c>
      <c r="F330" s="60"/>
      <c r="G330" s="60">
        <v>95</v>
      </c>
      <c r="H330" s="60"/>
      <c r="I330" s="60" t="s">
        <v>401</v>
      </c>
      <c r="J330" s="60"/>
      <c r="K330" s="53">
        <v>1300</v>
      </c>
      <c r="L330" s="19">
        <f t="shared" si="28"/>
        <v>0</v>
      </c>
      <c r="M330" s="19">
        <f t="shared" si="29"/>
        <v>0</v>
      </c>
      <c r="N330" s="19">
        <f t="shared" si="30"/>
        <v>0</v>
      </c>
      <c r="O330" s="19">
        <f t="shared" si="27"/>
        <v>0</v>
      </c>
      <c r="P330" s="48"/>
      <c r="Q330" s="47"/>
    </row>
    <row r="331" spans="1:17" ht="15.75" thickBot="1">
      <c r="A331" s="654" t="s">
        <v>289</v>
      </c>
      <c r="B331" s="259">
        <v>0</v>
      </c>
      <c r="C331" s="63">
        <v>4500</v>
      </c>
      <c r="D331" s="59">
        <v>5000</v>
      </c>
      <c r="E331" s="102">
        <v>4000</v>
      </c>
      <c r="F331" s="59"/>
      <c r="G331" s="59">
        <v>95</v>
      </c>
      <c r="H331" s="59"/>
      <c r="I331" s="59" t="s">
        <v>401</v>
      </c>
      <c r="J331" s="59"/>
      <c r="K331" s="54">
        <v>1300</v>
      </c>
      <c r="L331" s="21">
        <f t="shared" si="28"/>
        <v>0</v>
      </c>
      <c r="M331" s="21">
        <f t="shared" si="29"/>
        <v>0</v>
      </c>
      <c r="N331" s="21">
        <f t="shared" si="30"/>
        <v>0</v>
      </c>
      <c r="O331" s="21">
        <f>$B331*K331</f>
        <v>0</v>
      </c>
      <c r="P331" s="55" t="s">
        <v>91</v>
      </c>
      <c r="Q331" s="51"/>
    </row>
    <row r="332" spans="1:17">
      <c r="A332" s="154" t="s">
        <v>916</v>
      </c>
      <c r="B332" s="243">
        <v>0</v>
      </c>
      <c r="C332" s="39">
        <v>1850</v>
      </c>
      <c r="D332" s="40">
        <v>950</v>
      </c>
      <c r="E332" s="52">
        <v>2000</v>
      </c>
      <c r="F332" s="40"/>
      <c r="G332" s="70">
        <v>30</v>
      </c>
      <c r="H332" s="70">
        <v>80</v>
      </c>
      <c r="I332" s="70" t="s">
        <v>400</v>
      </c>
      <c r="J332" s="40"/>
      <c r="K332" s="52">
        <v>2000</v>
      </c>
      <c r="L332" s="42">
        <f t="shared" ref="L332:L341" si="31">$B332*C332</f>
        <v>0</v>
      </c>
      <c r="M332" s="42">
        <f t="shared" ref="M332:M341" si="32">$B332*D332</f>
        <v>0</v>
      </c>
      <c r="N332" s="42">
        <f t="shared" ref="N332:N341" si="33">$B332*E332</f>
        <v>0</v>
      </c>
      <c r="O332" s="42">
        <f t="shared" ref="O332:O341" si="34">$B332*K332</f>
        <v>0</v>
      </c>
      <c r="P332" s="38"/>
      <c r="Q332" s="44"/>
    </row>
    <row r="333" spans="1:17">
      <c r="A333" s="155" t="s">
        <v>356</v>
      </c>
      <c r="B333" s="244">
        <v>0</v>
      </c>
      <c r="C333" s="62">
        <v>2300</v>
      </c>
      <c r="D333" s="60">
        <v>1200</v>
      </c>
      <c r="E333" s="101">
        <v>2500</v>
      </c>
      <c r="F333" s="60"/>
      <c r="G333" s="60">
        <v>95</v>
      </c>
      <c r="H333" s="60"/>
      <c r="I333" s="60" t="s">
        <v>400</v>
      </c>
      <c r="J333" s="60">
        <v>45</v>
      </c>
      <c r="K333" s="53">
        <v>2000</v>
      </c>
      <c r="L333" s="19">
        <f t="shared" si="31"/>
        <v>0</v>
      </c>
      <c r="M333" s="19">
        <f t="shared" si="32"/>
        <v>0</v>
      </c>
      <c r="N333" s="19">
        <f t="shared" si="33"/>
        <v>0</v>
      </c>
      <c r="O333" s="19">
        <f t="shared" si="34"/>
        <v>0</v>
      </c>
      <c r="P333" s="48"/>
      <c r="Q333" s="47"/>
    </row>
    <row r="334" spans="1:17">
      <c r="A334" s="155" t="s">
        <v>357</v>
      </c>
      <c r="B334" s="244">
        <v>0</v>
      </c>
      <c r="C334" s="62">
        <v>2000</v>
      </c>
      <c r="D334" s="60">
        <v>1100</v>
      </c>
      <c r="E334" s="101">
        <v>2500</v>
      </c>
      <c r="F334" s="60">
        <v>420</v>
      </c>
      <c r="G334" s="60">
        <v>95</v>
      </c>
      <c r="H334" s="60"/>
      <c r="I334" s="60" t="s">
        <v>400</v>
      </c>
      <c r="J334" s="60"/>
      <c r="K334" s="53">
        <v>2000</v>
      </c>
      <c r="L334" s="19">
        <f t="shared" si="31"/>
        <v>0</v>
      </c>
      <c r="M334" s="19">
        <f t="shared" si="32"/>
        <v>0</v>
      </c>
      <c r="N334" s="19">
        <f t="shared" si="33"/>
        <v>0</v>
      </c>
      <c r="O334" s="19">
        <f t="shared" si="34"/>
        <v>0</v>
      </c>
      <c r="P334" s="48" t="s">
        <v>88</v>
      </c>
      <c r="Q334" s="47" t="s">
        <v>358</v>
      </c>
    </row>
    <row r="335" spans="1:17">
      <c r="A335" s="155" t="s">
        <v>359</v>
      </c>
      <c r="B335" s="244">
        <v>0</v>
      </c>
      <c r="C335" s="62">
        <v>2200</v>
      </c>
      <c r="D335" s="60">
        <v>1200</v>
      </c>
      <c r="E335" s="101">
        <v>2600</v>
      </c>
      <c r="F335" s="60"/>
      <c r="G335" s="60">
        <v>95</v>
      </c>
      <c r="H335" s="60"/>
      <c r="I335" s="60" t="s">
        <v>400</v>
      </c>
      <c r="J335" s="60"/>
      <c r="K335" s="53">
        <v>2000</v>
      </c>
      <c r="L335" s="19">
        <f t="shared" si="31"/>
        <v>0</v>
      </c>
      <c r="M335" s="19">
        <f t="shared" si="32"/>
        <v>0</v>
      </c>
      <c r="N335" s="19">
        <f t="shared" si="33"/>
        <v>0</v>
      </c>
      <c r="O335" s="19">
        <f t="shared" si="34"/>
        <v>0</v>
      </c>
      <c r="P335" s="48"/>
      <c r="Q335" s="47"/>
    </row>
    <row r="336" spans="1:17">
      <c r="A336" s="157" t="s">
        <v>360</v>
      </c>
      <c r="B336" s="244">
        <v>0</v>
      </c>
      <c r="C336" s="62">
        <v>4000</v>
      </c>
      <c r="D336" s="60">
        <v>1500</v>
      </c>
      <c r="E336" s="101">
        <v>3000</v>
      </c>
      <c r="F336" s="60"/>
      <c r="G336" s="60">
        <v>95</v>
      </c>
      <c r="H336" s="60"/>
      <c r="I336" s="60" t="s">
        <v>400</v>
      </c>
      <c r="J336" s="60"/>
      <c r="K336" s="53">
        <v>2000</v>
      </c>
      <c r="L336" s="19">
        <f t="shared" si="31"/>
        <v>0</v>
      </c>
      <c r="M336" s="19">
        <f t="shared" si="32"/>
        <v>0</v>
      </c>
      <c r="N336" s="19">
        <f t="shared" si="33"/>
        <v>0</v>
      </c>
      <c r="O336" s="19">
        <f t="shared" si="34"/>
        <v>0</v>
      </c>
      <c r="P336" s="48"/>
      <c r="Q336" s="47"/>
    </row>
    <row r="337" spans="1:17">
      <c r="A337" s="157" t="s">
        <v>361</v>
      </c>
      <c r="B337" s="244">
        <v>0</v>
      </c>
      <c r="C337" s="62">
        <v>3238</v>
      </c>
      <c r="D337" s="60">
        <v>1663</v>
      </c>
      <c r="E337" s="101">
        <v>3500</v>
      </c>
      <c r="F337" s="60"/>
      <c r="G337" s="60">
        <v>95</v>
      </c>
      <c r="H337" s="60"/>
      <c r="I337" s="60" t="s">
        <v>400</v>
      </c>
      <c r="J337" s="60"/>
      <c r="K337" s="53">
        <v>2000</v>
      </c>
      <c r="L337" s="19">
        <f t="shared" si="31"/>
        <v>0</v>
      </c>
      <c r="M337" s="19">
        <f t="shared" si="32"/>
        <v>0</v>
      </c>
      <c r="N337" s="19">
        <f t="shared" si="33"/>
        <v>0</v>
      </c>
      <c r="O337" s="19">
        <f t="shared" si="34"/>
        <v>0</v>
      </c>
      <c r="P337" s="48"/>
      <c r="Q337" s="47"/>
    </row>
    <row r="338" spans="1:17">
      <c r="A338" s="157" t="s">
        <v>362</v>
      </c>
      <c r="B338" s="244">
        <v>0</v>
      </c>
      <c r="C338" s="62">
        <v>3000</v>
      </c>
      <c r="D338" s="60">
        <v>2000</v>
      </c>
      <c r="E338" s="101">
        <v>3000</v>
      </c>
      <c r="F338" s="60"/>
      <c r="G338" s="60">
        <v>95</v>
      </c>
      <c r="H338" s="60"/>
      <c r="I338" s="60" t="s">
        <v>400</v>
      </c>
      <c r="J338" s="60"/>
      <c r="K338" s="53">
        <v>2000</v>
      </c>
      <c r="L338" s="19">
        <f t="shared" si="31"/>
        <v>0</v>
      </c>
      <c r="M338" s="19">
        <f t="shared" si="32"/>
        <v>0</v>
      </c>
      <c r="N338" s="19">
        <f t="shared" si="33"/>
        <v>0</v>
      </c>
      <c r="O338" s="19">
        <f t="shared" si="34"/>
        <v>0</v>
      </c>
      <c r="P338" s="48" t="s">
        <v>91</v>
      </c>
      <c r="Q338" s="47"/>
    </row>
    <row r="339" spans="1:17">
      <c r="A339" s="158" t="s">
        <v>363</v>
      </c>
      <c r="B339" s="244">
        <v>0</v>
      </c>
      <c r="C339" s="62">
        <v>4500</v>
      </c>
      <c r="D339" s="60">
        <v>2500</v>
      </c>
      <c r="E339" s="101">
        <v>5000</v>
      </c>
      <c r="F339" s="60"/>
      <c r="G339" s="60">
        <v>95</v>
      </c>
      <c r="H339" s="60"/>
      <c r="I339" s="60" t="s">
        <v>400</v>
      </c>
      <c r="J339" s="60"/>
      <c r="K339" s="53">
        <v>2000</v>
      </c>
      <c r="L339" s="19">
        <f t="shared" si="31"/>
        <v>0</v>
      </c>
      <c r="M339" s="19">
        <f t="shared" si="32"/>
        <v>0</v>
      </c>
      <c r="N339" s="19">
        <f t="shared" si="33"/>
        <v>0</v>
      </c>
      <c r="O339" s="19">
        <f t="shared" si="34"/>
        <v>0</v>
      </c>
      <c r="P339" s="48"/>
      <c r="Q339" s="47"/>
    </row>
    <row r="340" spans="1:17" ht="15.75" thickBot="1">
      <c r="A340" s="650" t="s">
        <v>364</v>
      </c>
      <c r="B340" s="245">
        <v>0</v>
      </c>
      <c r="C340" s="63">
        <v>9750</v>
      </c>
      <c r="D340" s="59">
        <v>4500</v>
      </c>
      <c r="E340" s="102">
        <v>10000</v>
      </c>
      <c r="F340" s="59"/>
      <c r="G340" s="59">
        <v>95</v>
      </c>
      <c r="H340" s="59"/>
      <c r="I340" s="59" t="s">
        <v>400</v>
      </c>
      <c r="J340" s="59"/>
      <c r="K340" s="53">
        <v>2000</v>
      </c>
      <c r="L340" s="21">
        <f t="shared" si="31"/>
        <v>0</v>
      </c>
      <c r="M340" s="21">
        <f t="shared" si="32"/>
        <v>0</v>
      </c>
      <c r="N340" s="21">
        <f t="shared" si="33"/>
        <v>0</v>
      </c>
      <c r="O340" s="21">
        <f t="shared" si="34"/>
        <v>0</v>
      </c>
      <c r="P340" s="55" t="s">
        <v>104</v>
      </c>
      <c r="Q340" s="51"/>
    </row>
    <row r="341" spans="1:17" ht="15.75" thickBot="1">
      <c r="A341" s="154" t="s">
        <v>915</v>
      </c>
      <c r="B341" s="243">
        <v>0</v>
      </c>
      <c r="C341" s="39">
        <v>120</v>
      </c>
      <c r="D341" s="40">
        <v>80</v>
      </c>
      <c r="E341" s="52">
        <v>80</v>
      </c>
      <c r="F341" s="40"/>
      <c r="G341" s="40">
        <v>4</v>
      </c>
      <c r="H341" s="40"/>
      <c r="I341" s="40" t="s">
        <v>396</v>
      </c>
      <c r="J341" s="40"/>
      <c r="K341" s="52">
        <v>600</v>
      </c>
      <c r="L341" s="42">
        <f t="shared" si="31"/>
        <v>0</v>
      </c>
      <c r="M341" s="42">
        <f t="shared" si="32"/>
        <v>0</v>
      </c>
      <c r="N341" s="42">
        <f t="shared" si="33"/>
        <v>0</v>
      </c>
      <c r="O341" s="42">
        <f t="shared" si="34"/>
        <v>0</v>
      </c>
      <c r="P341" s="57"/>
      <c r="Q341" s="44"/>
    </row>
    <row r="342" spans="1:17">
      <c r="A342" s="154" t="s">
        <v>914</v>
      </c>
      <c r="B342" s="243">
        <v>0</v>
      </c>
      <c r="C342" s="39">
        <v>350</v>
      </c>
      <c r="D342" s="40">
        <v>790</v>
      </c>
      <c r="E342" s="52">
        <v>840</v>
      </c>
      <c r="F342" s="40">
        <v>650</v>
      </c>
      <c r="G342" s="70">
        <v>20</v>
      </c>
      <c r="H342" s="70">
        <v>50</v>
      </c>
      <c r="I342" s="70" t="s">
        <v>399</v>
      </c>
      <c r="J342" s="40"/>
      <c r="K342" s="52">
        <v>2000</v>
      </c>
      <c r="L342" s="42">
        <f t="shared" ref="L342:L354" si="35">$B342*C342</f>
        <v>0</v>
      </c>
      <c r="M342" s="42">
        <f t="shared" ref="M342:M354" si="36">$B342*D342</f>
        <v>0</v>
      </c>
      <c r="N342" s="42">
        <f t="shared" ref="N342:N354" si="37">$B342*E342</f>
        <v>0</v>
      </c>
      <c r="O342" s="42">
        <f>$B342*K342</f>
        <v>0</v>
      </c>
      <c r="P342" s="38"/>
      <c r="Q342" s="44" t="s">
        <v>255</v>
      </c>
    </row>
    <row r="343" spans="1:17">
      <c r="A343" s="155" t="s">
        <v>352</v>
      </c>
      <c r="B343" s="244">
        <v>0</v>
      </c>
      <c r="C343" s="80">
        <v>550</v>
      </c>
      <c r="D343" s="45">
        <v>990</v>
      </c>
      <c r="E343" s="101">
        <v>1040</v>
      </c>
      <c r="F343" s="60">
        <v>325</v>
      </c>
      <c r="G343" s="60">
        <v>45</v>
      </c>
      <c r="H343" s="60"/>
      <c r="I343" s="60" t="s">
        <v>399</v>
      </c>
      <c r="J343" s="60">
        <v>25</v>
      </c>
      <c r="K343" s="53">
        <v>2000</v>
      </c>
      <c r="L343" s="19">
        <f t="shared" si="35"/>
        <v>0</v>
      </c>
      <c r="M343" s="19">
        <f t="shared" si="36"/>
        <v>0</v>
      </c>
      <c r="N343" s="19">
        <f t="shared" si="37"/>
        <v>0</v>
      </c>
      <c r="O343" s="19">
        <f>$B343*K343</f>
        <v>0</v>
      </c>
      <c r="P343" s="48" t="s">
        <v>88</v>
      </c>
      <c r="Q343" s="47"/>
    </row>
    <row r="344" spans="1:17">
      <c r="A344" s="157" t="s">
        <v>353</v>
      </c>
      <c r="B344" s="244">
        <v>0</v>
      </c>
      <c r="C344" s="80">
        <v>600</v>
      </c>
      <c r="D344" s="60">
        <v>1300</v>
      </c>
      <c r="E344" s="101">
        <v>1500</v>
      </c>
      <c r="F344" s="60">
        <v>600</v>
      </c>
      <c r="G344" s="60">
        <v>45</v>
      </c>
      <c r="H344" s="60"/>
      <c r="I344" s="60" t="s">
        <v>399</v>
      </c>
      <c r="J344" s="60"/>
      <c r="K344" s="53">
        <v>2000</v>
      </c>
      <c r="L344" s="19">
        <f t="shared" si="35"/>
        <v>0</v>
      </c>
      <c r="M344" s="19">
        <f t="shared" si="36"/>
        <v>0</v>
      </c>
      <c r="N344" s="19">
        <f t="shared" si="37"/>
        <v>0</v>
      </c>
      <c r="O344" s="19">
        <f>$B344*K344</f>
        <v>0</v>
      </c>
      <c r="P344" s="48" t="s">
        <v>88</v>
      </c>
      <c r="Q344" s="47" t="s">
        <v>212</v>
      </c>
    </row>
    <row r="345" spans="1:17">
      <c r="A345" s="157" t="s">
        <v>354</v>
      </c>
      <c r="B345" s="244">
        <v>0</v>
      </c>
      <c r="C345" s="80">
        <v>350</v>
      </c>
      <c r="D345" s="60">
        <v>1290</v>
      </c>
      <c r="E345" s="101">
        <v>1540</v>
      </c>
      <c r="F345" s="60">
        <v>850</v>
      </c>
      <c r="G345" s="60">
        <v>45</v>
      </c>
      <c r="H345" s="60"/>
      <c r="I345" s="60" t="s">
        <v>399</v>
      </c>
      <c r="J345" s="60"/>
      <c r="K345" s="53">
        <v>2000</v>
      </c>
      <c r="L345" s="19">
        <f t="shared" si="35"/>
        <v>0</v>
      </c>
      <c r="M345" s="19">
        <f t="shared" si="36"/>
        <v>0</v>
      </c>
      <c r="N345" s="19">
        <f t="shared" si="37"/>
        <v>0</v>
      </c>
      <c r="O345" s="19">
        <f>$B345*K345</f>
        <v>0</v>
      </c>
      <c r="P345" s="48" t="s">
        <v>88</v>
      </c>
      <c r="Q345" s="47" t="s">
        <v>241</v>
      </c>
    </row>
    <row r="346" spans="1:17" ht="15.75" thickBot="1">
      <c r="A346" s="653" t="s">
        <v>355</v>
      </c>
      <c r="B346" s="245">
        <v>0</v>
      </c>
      <c r="C346" s="80">
        <v>875</v>
      </c>
      <c r="D346" s="60">
        <v>1975</v>
      </c>
      <c r="E346" s="101">
        <v>2100</v>
      </c>
      <c r="F346" s="60">
        <v>230</v>
      </c>
      <c r="G346" s="60">
        <v>45</v>
      </c>
      <c r="H346" s="60"/>
      <c r="I346" s="60" t="s">
        <v>399</v>
      </c>
      <c r="J346" s="60"/>
      <c r="K346" s="53">
        <v>2000</v>
      </c>
      <c r="L346" s="21">
        <f t="shared" si="35"/>
        <v>0</v>
      </c>
      <c r="M346" s="21">
        <f t="shared" si="36"/>
        <v>0</v>
      </c>
      <c r="N346" s="21">
        <f t="shared" si="37"/>
        <v>0</v>
      </c>
      <c r="O346" s="21">
        <f>$B346*K346</f>
        <v>0</v>
      </c>
      <c r="P346" s="55" t="s">
        <v>88</v>
      </c>
      <c r="Q346" s="51" t="s">
        <v>320</v>
      </c>
    </row>
    <row r="347" spans="1:17">
      <c r="A347" s="154" t="s">
        <v>913</v>
      </c>
      <c r="B347" s="243">
        <v>0</v>
      </c>
      <c r="C347" s="39">
        <v>14600</v>
      </c>
      <c r="D347" s="40">
        <v>14000</v>
      </c>
      <c r="E347" s="52">
        <v>10500</v>
      </c>
      <c r="F347" s="40"/>
      <c r="G347" s="70">
        <v>200</v>
      </c>
      <c r="H347" s="70">
        <v>500</v>
      </c>
      <c r="I347" s="70" t="s">
        <v>404</v>
      </c>
      <c r="J347" s="40"/>
      <c r="K347" s="52">
        <v>40000</v>
      </c>
      <c r="L347" s="42">
        <f t="shared" si="35"/>
        <v>0</v>
      </c>
      <c r="M347" s="42">
        <f t="shared" si="36"/>
        <v>0</v>
      </c>
      <c r="N347" s="42">
        <f t="shared" si="37"/>
        <v>0</v>
      </c>
      <c r="O347" s="42">
        <f t="shared" ref="O347:O354" si="38">$B347*K347</f>
        <v>0</v>
      </c>
      <c r="P347" s="38"/>
      <c r="Q347" s="44"/>
    </row>
    <row r="348" spans="1:17">
      <c r="A348" s="156" t="s">
        <v>365</v>
      </c>
      <c r="B348" s="244">
        <v>0</v>
      </c>
      <c r="C348" s="62">
        <v>16600</v>
      </c>
      <c r="D348" s="60">
        <v>18000</v>
      </c>
      <c r="E348" s="101">
        <v>11700</v>
      </c>
      <c r="F348" s="60"/>
      <c r="G348" s="60">
        <v>500</v>
      </c>
      <c r="H348" s="60"/>
      <c r="I348" s="60" t="s">
        <v>404</v>
      </c>
      <c r="J348" s="60">
        <v>350</v>
      </c>
      <c r="K348" s="53">
        <v>40000</v>
      </c>
      <c r="L348" s="19">
        <f t="shared" si="35"/>
        <v>0</v>
      </c>
      <c r="M348" s="19">
        <f t="shared" si="36"/>
        <v>0</v>
      </c>
      <c r="N348" s="19">
        <f t="shared" si="37"/>
        <v>0</v>
      </c>
      <c r="O348" s="19">
        <f t="shared" si="38"/>
        <v>0</v>
      </c>
      <c r="P348" s="48"/>
      <c r="Q348" s="26"/>
    </row>
    <row r="349" spans="1:17">
      <c r="A349" s="156" t="s">
        <v>366</v>
      </c>
      <c r="B349" s="244">
        <v>0</v>
      </c>
      <c r="C349" s="62">
        <v>18000</v>
      </c>
      <c r="D349" s="60">
        <v>17500</v>
      </c>
      <c r="E349" s="101">
        <v>11000</v>
      </c>
      <c r="F349" s="60"/>
      <c r="G349" s="60">
        <v>500</v>
      </c>
      <c r="H349" s="60"/>
      <c r="I349" s="60" t="s">
        <v>404</v>
      </c>
      <c r="J349" s="60"/>
      <c r="K349" s="53">
        <v>40000</v>
      </c>
      <c r="L349" s="19">
        <f t="shared" si="35"/>
        <v>0</v>
      </c>
      <c r="M349" s="19">
        <f t="shared" si="36"/>
        <v>0</v>
      </c>
      <c r="N349" s="19">
        <f t="shared" si="37"/>
        <v>0</v>
      </c>
      <c r="O349" s="19">
        <f t="shared" si="38"/>
        <v>0</v>
      </c>
      <c r="P349" s="48"/>
      <c r="Q349" s="26"/>
    </row>
    <row r="350" spans="1:17">
      <c r="A350" s="155" t="s">
        <v>367</v>
      </c>
      <c r="B350" s="244">
        <v>0</v>
      </c>
      <c r="C350" s="62">
        <v>16000</v>
      </c>
      <c r="D350" s="60">
        <v>17000</v>
      </c>
      <c r="E350" s="101">
        <v>10305</v>
      </c>
      <c r="F350" s="60"/>
      <c r="G350" s="60">
        <v>500</v>
      </c>
      <c r="H350" s="60"/>
      <c r="I350" s="60" t="s">
        <v>404</v>
      </c>
      <c r="J350" s="60"/>
      <c r="K350" s="53">
        <v>40000</v>
      </c>
      <c r="L350" s="19">
        <f t="shared" si="35"/>
        <v>0</v>
      </c>
      <c r="M350" s="19">
        <f t="shared" si="36"/>
        <v>0</v>
      </c>
      <c r="N350" s="19">
        <f t="shared" si="37"/>
        <v>0</v>
      </c>
      <c r="O350" s="19">
        <f t="shared" si="38"/>
        <v>0</v>
      </c>
      <c r="P350" s="48" t="s">
        <v>88</v>
      </c>
      <c r="Q350" s="26"/>
    </row>
    <row r="351" spans="1:17">
      <c r="A351" s="160" t="s">
        <v>368</v>
      </c>
      <c r="B351" s="244">
        <v>0</v>
      </c>
      <c r="C351" s="62">
        <v>25000</v>
      </c>
      <c r="D351" s="60">
        <v>30000</v>
      </c>
      <c r="E351" s="101">
        <v>12000</v>
      </c>
      <c r="F351" s="60"/>
      <c r="G351" s="60">
        <v>500</v>
      </c>
      <c r="H351" s="60"/>
      <c r="I351" s="60" t="s">
        <v>404</v>
      </c>
      <c r="J351" s="60"/>
      <c r="K351" s="53">
        <v>40000</v>
      </c>
      <c r="L351" s="19">
        <f t="shared" si="35"/>
        <v>0</v>
      </c>
      <c r="M351" s="19">
        <f t="shared" si="36"/>
        <v>0</v>
      </c>
      <c r="N351" s="19">
        <f t="shared" si="37"/>
        <v>0</v>
      </c>
      <c r="O351" s="19">
        <f t="shared" si="38"/>
        <v>0</v>
      </c>
      <c r="P351" s="48"/>
      <c r="Q351" s="26"/>
    </row>
    <row r="352" spans="1:17">
      <c r="A352" s="160" t="s">
        <v>369</v>
      </c>
      <c r="B352" s="244">
        <v>0</v>
      </c>
      <c r="C352" s="62">
        <v>26000</v>
      </c>
      <c r="D352" s="60">
        <v>24500</v>
      </c>
      <c r="E352" s="101">
        <v>15000</v>
      </c>
      <c r="F352" s="60"/>
      <c r="G352" s="60">
        <v>500</v>
      </c>
      <c r="H352" s="60"/>
      <c r="I352" s="60" t="s">
        <v>404</v>
      </c>
      <c r="J352" s="60"/>
      <c r="K352" s="53">
        <v>40000</v>
      </c>
      <c r="L352" s="19">
        <f t="shared" si="35"/>
        <v>0</v>
      </c>
      <c r="M352" s="19">
        <f t="shared" si="36"/>
        <v>0</v>
      </c>
      <c r="N352" s="19">
        <f t="shared" si="37"/>
        <v>0</v>
      </c>
      <c r="O352" s="19">
        <f t="shared" si="38"/>
        <v>0</v>
      </c>
      <c r="P352" s="48"/>
      <c r="Q352" s="26"/>
    </row>
    <row r="353" spans="1:17">
      <c r="A353" s="161" t="s">
        <v>370</v>
      </c>
      <c r="B353" s="244">
        <v>0</v>
      </c>
      <c r="C353" s="62">
        <v>40000</v>
      </c>
      <c r="D353" s="60">
        <v>35000</v>
      </c>
      <c r="E353" s="101">
        <v>20000</v>
      </c>
      <c r="F353" s="60"/>
      <c r="G353" s="60">
        <v>500</v>
      </c>
      <c r="H353" s="60"/>
      <c r="I353" s="60" t="s">
        <v>404</v>
      </c>
      <c r="J353" s="60"/>
      <c r="K353" s="53">
        <v>40000</v>
      </c>
      <c r="L353" s="19">
        <f t="shared" si="35"/>
        <v>0</v>
      </c>
      <c r="M353" s="19">
        <f t="shared" si="36"/>
        <v>0</v>
      </c>
      <c r="N353" s="19">
        <f t="shared" si="37"/>
        <v>0</v>
      </c>
      <c r="O353" s="19">
        <f t="shared" si="38"/>
        <v>0</v>
      </c>
      <c r="P353" s="48" t="s">
        <v>88</v>
      </c>
      <c r="Q353" s="26"/>
    </row>
    <row r="354" spans="1:17">
      <c r="A354" s="161" t="s">
        <v>371</v>
      </c>
      <c r="B354" s="244">
        <v>0</v>
      </c>
      <c r="C354" s="62">
        <v>36500</v>
      </c>
      <c r="D354" s="60">
        <v>35000</v>
      </c>
      <c r="E354" s="101">
        <v>21750</v>
      </c>
      <c r="F354" s="60"/>
      <c r="G354" s="60">
        <v>500</v>
      </c>
      <c r="H354" s="60"/>
      <c r="I354" s="60" t="s">
        <v>404</v>
      </c>
      <c r="J354" s="60"/>
      <c r="K354" s="53">
        <v>40000</v>
      </c>
      <c r="L354" s="19">
        <f t="shared" si="35"/>
        <v>0</v>
      </c>
      <c r="M354" s="19">
        <f t="shared" si="36"/>
        <v>0</v>
      </c>
      <c r="N354" s="19">
        <f t="shared" si="37"/>
        <v>0</v>
      </c>
      <c r="O354" s="19">
        <f t="shared" si="38"/>
        <v>0</v>
      </c>
      <c r="P354" s="48"/>
      <c r="Q354" s="26"/>
    </row>
    <row r="355" spans="1:17" ht="15.75" thickBot="1">
      <c r="A355" s="174" t="s">
        <v>372</v>
      </c>
      <c r="B355" s="244">
        <v>0</v>
      </c>
      <c r="C355" s="62">
        <v>70000</v>
      </c>
      <c r="D355" s="60">
        <v>60000</v>
      </c>
      <c r="E355" s="101">
        <v>50000</v>
      </c>
      <c r="F355" s="60"/>
      <c r="G355" s="60">
        <v>500</v>
      </c>
      <c r="H355" s="60"/>
      <c r="I355" s="60" t="s">
        <v>404</v>
      </c>
      <c r="J355" s="60"/>
      <c r="K355" s="53">
        <v>40000</v>
      </c>
      <c r="L355" s="19">
        <f t="shared" ref="L355:N356" si="39">$B355*C355</f>
        <v>0</v>
      </c>
      <c r="M355" s="19">
        <f t="shared" si="39"/>
        <v>0</v>
      </c>
      <c r="N355" s="19">
        <f t="shared" si="39"/>
        <v>0</v>
      </c>
      <c r="O355" s="19">
        <f>$B355*K355</f>
        <v>0</v>
      </c>
      <c r="P355" s="48" t="s">
        <v>322</v>
      </c>
      <c r="Q355" s="26"/>
    </row>
    <row r="356" spans="1:17" ht="15.75" thickBot="1">
      <c r="A356" s="37" t="s">
        <v>673</v>
      </c>
      <c r="B356" s="260">
        <v>0</v>
      </c>
      <c r="C356" s="179">
        <v>100000</v>
      </c>
      <c r="D356" s="180">
        <v>100000</v>
      </c>
      <c r="E356" s="181">
        <v>100000</v>
      </c>
      <c r="F356" s="177"/>
      <c r="G356" s="177">
        <v>800</v>
      </c>
      <c r="H356" s="177"/>
      <c r="I356" s="177" t="s">
        <v>417</v>
      </c>
      <c r="J356" s="177"/>
      <c r="K356" s="178">
        <v>400000</v>
      </c>
      <c r="L356" s="42">
        <f t="shared" si="39"/>
        <v>0</v>
      </c>
      <c r="M356" s="42">
        <f t="shared" si="39"/>
        <v>0</v>
      </c>
      <c r="N356" s="42">
        <f t="shared" si="39"/>
        <v>0</v>
      </c>
      <c r="O356" s="42">
        <f>$B356*K356</f>
        <v>0</v>
      </c>
      <c r="P356" s="18"/>
      <c r="Q356" s="61"/>
    </row>
    <row r="357" spans="1:17" ht="15.75" thickBot="1">
      <c r="B357" s="17">
        <f>SUM(B3:B356)</f>
        <v>0</v>
      </c>
      <c r="C357" s="24"/>
      <c r="D357" s="25"/>
      <c r="E357" s="25"/>
      <c r="F357" s="13"/>
      <c r="G357" s="25"/>
      <c r="H357" s="25"/>
      <c r="I357" s="25"/>
      <c r="J357" s="25"/>
      <c r="K357" s="26"/>
      <c r="L357" s="175">
        <f>SUM(L3:L356)</f>
        <v>0</v>
      </c>
      <c r="M357" s="23">
        <f>SUM(M3:M356)</f>
        <v>0</v>
      </c>
      <c r="N357" s="23">
        <f>SUM(N3:N356)</f>
        <v>0</v>
      </c>
      <c r="O357" s="176">
        <f>SUM(O3:O356)</f>
        <v>0</v>
      </c>
      <c r="P357" s="25"/>
      <c r="Q357" s="25"/>
    </row>
    <row r="358" spans="1:17" ht="15.75" thickBot="1">
      <c r="C358" s="25"/>
      <c r="D358" s="25"/>
      <c r="E358" s="25"/>
      <c r="F358" s="13"/>
      <c r="G358" s="25"/>
      <c r="H358" s="25"/>
      <c r="I358" s="25"/>
      <c r="J358" s="25"/>
      <c r="K358" s="25"/>
      <c r="P358" s="25"/>
      <c r="Q358" s="25"/>
    </row>
    <row r="359" spans="1:17" ht="15.75" thickBot="1">
      <c r="M359" s="66" t="s">
        <v>430</v>
      </c>
      <c r="N359" s="95" t="e">
        <f>N357/B357</f>
        <v>#DIV/0!</v>
      </c>
      <c r="P359" s="25"/>
      <c r="Q359" s="2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25"/>
  <sheetViews>
    <sheetView zoomScale="85" zoomScaleNormal="85" workbookViewId="0"/>
  </sheetViews>
  <sheetFormatPr baseColWidth="10" defaultRowHeight="15"/>
  <cols>
    <col min="1" max="1" width="25.28515625" customWidth="1"/>
    <col min="2" max="2" width="5.85546875" customWidth="1"/>
    <col min="3" max="3" width="6.85546875" customWidth="1"/>
    <col min="4" max="5" width="7.140625" customWidth="1"/>
    <col min="6" max="6" width="8.85546875" customWidth="1"/>
    <col min="7" max="7" width="7.140625" bestFit="1" customWidth="1"/>
    <col min="8" max="8" width="7.5703125" style="92" hidden="1" customWidth="1"/>
    <col min="9" max="9" width="8" style="109" customWidth="1"/>
    <col min="10" max="10" width="6.5703125" style="92" hidden="1" customWidth="1"/>
    <col min="11" max="11" width="6.5703125" style="520" hidden="1" customWidth="1"/>
    <col min="12" max="12" width="6.5703125" style="525" customWidth="1"/>
    <col min="13" max="13" width="2.28515625" customWidth="1"/>
    <col min="14" max="14" width="8.5703125" customWidth="1"/>
    <col min="15" max="15" width="11.7109375" bestFit="1" customWidth="1"/>
    <col min="21" max="21" width="0" style="92" hidden="1" customWidth="1"/>
    <col min="22" max="22" width="0" style="520" hidden="1" customWidth="1"/>
    <col min="23" max="23" width="11.42578125" style="31"/>
  </cols>
  <sheetData>
    <row r="1" spans="1:23" ht="21">
      <c r="A1" s="141" t="s">
        <v>489</v>
      </c>
    </row>
    <row r="3" spans="1:23">
      <c r="A3" t="s">
        <v>493</v>
      </c>
      <c r="B3" s="186">
        <v>23</v>
      </c>
    </row>
    <row r="4" spans="1:23">
      <c r="C4" s="583" t="s">
        <v>492</v>
      </c>
      <c r="D4" s="583"/>
      <c r="E4" s="583"/>
      <c r="F4" s="583"/>
      <c r="G4" s="583"/>
      <c r="H4" s="153"/>
      <c r="I4" s="311"/>
      <c r="J4" s="153"/>
      <c r="K4" s="521"/>
      <c r="L4" s="526"/>
      <c r="O4" s="583" t="s">
        <v>642</v>
      </c>
      <c r="P4" s="583"/>
      <c r="Q4" s="583"/>
      <c r="R4" s="583"/>
      <c r="S4" s="583"/>
    </row>
    <row r="5" spans="1:23" ht="30">
      <c r="B5" s="93" t="s">
        <v>641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s="310" t="s">
        <v>711</v>
      </c>
      <c r="I5" s="312" t="s">
        <v>710</v>
      </c>
      <c r="J5" s="309" t="s">
        <v>700</v>
      </c>
      <c r="K5" s="522" t="s">
        <v>800</v>
      </c>
      <c r="L5" s="527" t="s">
        <v>801</v>
      </c>
      <c r="N5" s="93" t="s">
        <v>643</v>
      </c>
      <c r="O5" s="166" t="s">
        <v>2</v>
      </c>
      <c r="P5" s="166" t="s">
        <v>3</v>
      </c>
      <c r="Q5" s="166" t="s">
        <v>4</v>
      </c>
      <c r="R5" s="166" t="s">
        <v>5</v>
      </c>
      <c r="S5" s="166" t="s">
        <v>6</v>
      </c>
      <c r="U5" s="309" t="s">
        <v>700</v>
      </c>
      <c r="V5" s="522" t="s">
        <v>701</v>
      </c>
      <c r="W5" s="308" t="s">
        <v>701</v>
      </c>
    </row>
    <row r="7" spans="1:23">
      <c r="A7" s="144" t="s">
        <v>491</v>
      </c>
      <c r="B7">
        <v>0</v>
      </c>
      <c r="C7" s="65">
        <v>480</v>
      </c>
      <c r="D7" s="65">
        <v>595</v>
      </c>
      <c r="E7" s="65">
        <v>385</v>
      </c>
      <c r="F7" s="65">
        <v>475</v>
      </c>
      <c r="G7" s="65">
        <v>345</v>
      </c>
      <c r="H7" s="305">
        <v>2280</v>
      </c>
      <c r="I7" s="304">
        <f t="shared" ref="I7:I14" si="0">C7+D7+E7+F7+G7</f>
        <v>2280</v>
      </c>
      <c r="J7" s="92">
        <v>0</v>
      </c>
      <c r="K7" s="520">
        <v>0</v>
      </c>
      <c r="L7" s="525">
        <v>0</v>
      </c>
      <c r="N7" s="6">
        <v>0</v>
      </c>
      <c r="O7" s="94">
        <f t="shared" ref="O7:S14" si="1">C7*1.33^($N7)/(1.6^($B$3/2))</f>
        <v>2.157056083093523</v>
      </c>
      <c r="P7" s="94">
        <f t="shared" si="1"/>
        <v>2.6738507696680127</v>
      </c>
      <c r="Q7" s="94">
        <f t="shared" si="1"/>
        <v>1.7301387333145966</v>
      </c>
      <c r="R7" s="94">
        <f t="shared" si="1"/>
        <v>2.1345867488946322</v>
      </c>
      <c r="S7" s="94">
        <f t="shared" si="1"/>
        <v>1.5503840597234695</v>
      </c>
      <c r="U7" s="165">
        <f>(N7+1)*J7</f>
        <v>0</v>
      </c>
      <c r="V7" s="523">
        <f>(N7+1)*K7</f>
        <v>0</v>
      </c>
      <c r="W7" s="321">
        <f>(N7+1)*L7</f>
        <v>0</v>
      </c>
    </row>
    <row r="8" spans="1:23" ht="15.75">
      <c r="A8" s="31" t="s">
        <v>12</v>
      </c>
      <c r="B8" s="142" t="s">
        <v>498</v>
      </c>
      <c r="C8" s="65">
        <v>760</v>
      </c>
      <c r="D8" s="65">
        <v>490</v>
      </c>
      <c r="E8" s="65">
        <v>1160</v>
      </c>
      <c r="F8" s="65">
        <v>2120</v>
      </c>
      <c r="G8" s="65">
        <v>470</v>
      </c>
      <c r="H8" s="306">
        <v>8120</v>
      </c>
      <c r="I8" s="303">
        <f t="shared" si="0"/>
        <v>5000</v>
      </c>
      <c r="J8" s="92">
        <v>12</v>
      </c>
      <c r="K8" s="520">
        <v>10</v>
      </c>
      <c r="L8" s="525">
        <v>25</v>
      </c>
      <c r="N8" s="186">
        <v>36</v>
      </c>
      <c r="O8" s="94">
        <f t="shared" si="1"/>
        <v>98195.78957119392</v>
      </c>
      <c r="P8" s="94">
        <f t="shared" si="1"/>
        <v>63310.443276164493</v>
      </c>
      <c r="Q8" s="94">
        <f t="shared" si="1"/>
        <v>149877.7840823486</v>
      </c>
      <c r="R8" s="94">
        <f t="shared" si="1"/>
        <v>273914.57090911985</v>
      </c>
      <c r="S8" s="94">
        <f t="shared" si="1"/>
        <v>60726.343550606762</v>
      </c>
      <c r="U8" s="165">
        <f t="shared" ref="U8:U76" si="2">N8*J8</f>
        <v>432</v>
      </c>
      <c r="V8" s="523">
        <f t="shared" ref="V8:V76" si="3">N8*K8</f>
        <v>360</v>
      </c>
      <c r="W8" s="321">
        <f>N8*L8</f>
        <v>900</v>
      </c>
    </row>
    <row r="9" spans="1:23" ht="15.75">
      <c r="A9" s="31" t="s">
        <v>17</v>
      </c>
      <c r="B9" s="142" t="s">
        <v>498</v>
      </c>
      <c r="C9" s="65">
        <v>1040</v>
      </c>
      <c r="D9" s="65">
        <v>940</v>
      </c>
      <c r="E9" s="65">
        <v>810</v>
      </c>
      <c r="F9" s="65">
        <v>1420</v>
      </c>
      <c r="G9" s="65">
        <v>790</v>
      </c>
      <c r="H9" s="306">
        <v>22260</v>
      </c>
      <c r="I9" s="303">
        <f t="shared" si="0"/>
        <v>5000</v>
      </c>
      <c r="J9" s="92">
        <v>5</v>
      </c>
      <c r="K9" s="520">
        <v>10</v>
      </c>
      <c r="L9" s="525">
        <v>25</v>
      </c>
      <c r="N9" s="186">
        <v>31</v>
      </c>
      <c r="O9" s="94">
        <f t="shared" si="1"/>
        <v>32288.986151915564</v>
      </c>
      <c r="P9" s="94">
        <f t="shared" si="1"/>
        <v>29184.275945000609</v>
      </c>
      <c r="Q9" s="94">
        <f t="shared" si="1"/>
        <v>25148.152676011159</v>
      </c>
      <c r="R9" s="94">
        <f t="shared" si="1"/>
        <v>44086.884938192401</v>
      </c>
      <c r="S9" s="94">
        <f t="shared" si="1"/>
        <v>24527.210634628169</v>
      </c>
      <c r="U9" s="165">
        <f t="shared" si="2"/>
        <v>155</v>
      </c>
      <c r="V9" s="523">
        <f t="shared" si="3"/>
        <v>310</v>
      </c>
      <c r="W9" s="321">
        <f t="shared" ref="W9:W14" si="4">N9*L9</f>
        <v>775</v>
      </c>
    </row>
    <row r="10" spans="1:23" ht="15.75">
      <c r="A10" s="31" t="s">
        <v>18</v>
      </c>
      <c r="B10" s="142" t="s">
        <v>498</v>
      </c>
      <c r="C10" s="65">
        <v>750</v>
      </c>
      <c r="D10" s="65">
        <v>610</v>
      </c>
      <c r="E10" s="65">
        <v>1450</v>
      </c>
      <c r="F10" s="65">
        <v>1780</v>
      </c>
      <c r="G10" s="65">
        <v>410</v>
      </c>
      <c r="H10" s="306">
        <v>5350</v>
      </c>
      <c r="I10" s="303">
        <f t="shared" si="0"/>
        <v>5000</v>
      </c>
      <c r="J10" s="92">
        <v>8</v>
      </c>
      <c r="K10" s="520">
        <v>10</v>
      </c>
      <c r="L10" s="525">
        <v>25</v>
      </c>
      <c r="N10" s="186">
        <v>40</v>
      </c>
      <c r="O10" s="94">
        <f t="shared" si="1"/>
        <v>303212.50022359402</v>
      </c>
      <c r="P10" s="94">
        <f t="shared" si="1"/>
        <v>246612.83351518979</v>
      </c>
      <c r="Q10" s="94">
        <f t="shared" si="1"/>
        <v>586210.83376561501</v>
      </c>
      <c r="R10" s="94">
        <f t="shared" si="1"/>
        <v>719624.33386399643</v>
      </c>
      <c r="S10" s="94">
        <f t="shared" si="1"/>
        <v>165756.16678889806</v>
      </c>
      <c r="U10" s="165">
        <f t="shared" si="2"/>
        <v>320</v>
      </c>
      <c r="V10" s="523">
        <f t="shared" si="3"/>
        <v>400</v>
      </c>
      <c r="W10" s="321">
        <f t="shared" si="4"/>
        <v>1000</v>
      </c>
    </row>
    <row r="11" spans="1:23" ht="15.75">
      <c r="A11" s="31" t="s">
        <v>699</v>
      </c>
      <c r="B11" s="142" t="s">
        <v>498</v>
      </c>
      <c r="C11" s="65">
        <v>1220</v>
      </c>
      <c r="D11" s="65">
        <v>1270</v>
      </c>
      <c r="E11" s="65">
        <v>1610</v>
      </c>
      <c r="F11" s="65">
        <v>180</v>
      </c>
      <c r="G11" s="65">
        <v>720</v>
      </c>
      <c r="H11" s="306"/>
      <c r="I11" s="303">
        <f t="shared" si="0"/>
        <v>5000</v>
      </c>
      <c r="K11" s="520">
        <v>10</v>
      </c>
      <c r="L11" s="525">
        <v>25</v>
      </c>
      <c r="N11" s="186">
        <v>0</v>
      </c>
      <c r="O11" s="94">
        <f t="shared" si="1"/>
        <v>5.4825175445293706</v>
      </c>
      <c r="P11" s="94">
        <f t="shared" si="1"/>
        <v>5.7072108865182791</v>
      </c>
      <c r="Q11" s="94">
        <f t="shared" si="1"/>
        <v>7.2351256120428582</v>
      </c>
      <c r="R11" s="94">
        <f t="shared" si="1"/>
        <v>0.80889603116007103</v>
      </c>
      <c r="S11" s="94">
        <f t="shared" si="1"/>
        <v>3.2355841246402841</v>
      </c>
      <c r="U11" s="165">
        <f t="shared" si="2"/>
        <v>0</v>
      </c>
      <c r="V11" s="523">
        <f t="shared" si="3"/>
        <v>0</v>
      </c>
      <c r="W11" s="321">
        <f t="shared" si="4"/>
        <v>0</v>
      </c>
    </row>
    <row r="12" spans="1:23">
      <c r="A12" s="31" t="s">
        <v>490</v>
      </c>
      <c r="B12">
        <v>40</v>
      </c>
      <c r="C12" s="65">
        <v>866</v>
      </c>
      <c r="D12" s="65">
        <v>1146</v>
      </c>
      <c r="E12" s="65">
        <v>660</v>
      </c>
      <c r="F12" s="65">
        <v>272</v>
      </c>
      <c r="G12" s="65">
        <v>1662</v>
      </c>
      <c r="H12" s="306">
        <v>4606</v>
      </c>
      <c r="I12" s="303">
        <f t="shared" si="0"/>
        <v>4606</v>
      </c>
      <c r="J12" s="92">
        <v>30</v>
      </c>
      <c r="K12" s="520">
        <v>50</v>
      </c>
      <c r="L12" s="525">
        <v>100</v>
      </c>
      <c r="N12" s="186">
        <v>40</v>
      </c>
      <c r="O12" s="94">
        <f t="shared" si="1"/>
        <v>350109.36692484317</v>
      </c>
      <c r="P12" s="94">
        <f t="shared" si="1"/>
        <v>463308.70034165162</v>
      </c>
      <c r="Q12" s="94">
        <f t="shared" si="1"/>
        <v>266827.00019676273</v>
      </c>
      <c r="R12" s="94">
        <f t="shared" si="1"/>
        <v>109965.06674775676</v>
      </c>
      <c r="S12" s="94">
        <f t="shared" si="1"/>
        <v>671918.90049548424</v>
      </c>
      <c r="U12" s="165">
        <f t="shared" si="2"/>
        <v>1200</v>
      </c>
      <c r="V12" s="523">
        <f t="shared" si="3"/>
        <v>2000</v>
      </c>
      <c r="W12" s="321">
        <f t="shared" si="4"/>
        <v>4000</v>
      </c>
    </row>
    <row r="13" spans="1:23" ht="15.75">
      <c r="A13" s="31" t="s">
        <v>19</v>
      </c>
      <c r="B13" s="142" t="s">
        <v>498</v>
      </c>
      <c r="C13" s="65">
        <v>920</v>
      </c>
      <c r="D13" s="65">
        <v>1120</v>
      </c>
      <c r="E13" s="65">
        <v>1010</v>
      </c>
      <c r="F13" s="65">
        <v>970</v>
      </c>
      <c r="G13" s="65">
        <v>980</v>
      </c>
      <c r="H13" s="306">
        <v>15415</v>
      </c>
      <c r="I13" s="303">
        <f t="shared" si="0"/>
        <v>5000</v>
      </c>
      <c r="J13" s="92">
        <v>25</v>
      </c>
      <c r="K13" s="520">
        <v>10</v>
      </c>
      <c r="L13" s="525">
        <v>25</v>
      </c>
      <c r="N13" s="186">
        <v>33</v>
      </c>
      <c r="O13" s="94">
        <f t="shared" si="1"/>
        <v>50525.681342109201</v>
      </c>
      <c r="P13" s="94">
        <f t="shared" si="1"/>
        <v>61509.525112132942</v>
      </c>
      <c r="Q13" s="94">
        <f t="shared" si="1"/>
        <v>55468.411038619888</v>
      </c>
      <c r="R13" s="94">
        <f t="shared" si="1"/>
        <v>53271.64228461514</v>
      </c>
      <c r="S13" s="94">
        <f t="shared" si="1"/>
        <v>53820.834473116323</v>
      </c>
      <c r="U13" s="165">
        <f t="shared" si="2"/>
        <v>825</v>
      </c>
      <c r="V13" s="523">
        <f t="shared" si="3"/>
        <v>330</v>
      </c>
      <c r="W13" s="321">
        <f t="shared" si="4"/>
        <v>825</v>
      </c>
    </row>
    <row r="14" spans="1:23" ht="15.75">
      <c r="A14" s="31" t="s">
        <v>20</v>
      </c>
      <c r="B14" s="142" t="s">
        <v>498</v>
      </c>
      <c r="C14" s="65">
        <v>640</v>
      </c>
      <c r="D14" s="65">
        <v>760</v>
      </c>
      <c r="E14" s="65">
        <v>1500</v>
      </c>
      <c r="F14" s="65">
        <v>1910</v>
      </c>
      <c r="G14" s="65">
        <v>190</v>
      </c>
      <c r="H14" s="307">
        <v>3270</v>
      </c>
      <c r="I14" s="313">
        <f t="shared" si="0"/>
        <v>5000</v>
      </c>
      <c r="J14" s="92">
        <v>5</v>
      </c>
      <c r="K14" s="520">
        <v>10</v>
      </c>
      <c r="L14" s="525">
        <v>25</v>
      </c>
      <c r="N14" s="186">
        <v>38</v>
      </c>
      <c r="O14" s="94">
        <f t="shared" si="1"/>
        <v>146272.44814525047</v>
      </c>
      <c r="P14" s="94">
        <f t="shared" si="1"/>
        <v>173698.53217248491</v>
      </c>
      <c r="Q14" s="94">
        <f t="shared" si="1"/>
        <v>342826.05034043081</v>
      </c>
      <c r="R14" s="94">
        <f t="shared" si="1"/>
        <v>436531.83743348182</v>
      </c>
      <c r="S14" s="94">
        <f t="shared" si="1"/>
        <v>43424.633043121226</v>
      </c>
      <c r="U14" s="165">
        <f t="shared" si="2"/>
        <v>190</v>
      </c>
      <c r="V14" s="523">
        <f t="shared" si="3"/>
        <v>380</v>
      </c>
      <c r="W14" s="321">
        <f t="shared" si="4"/>
        <v>950</v>
      </c>
    </row>
    <row r="15" spans="1:23" ht="15.75">
      <c r="A15" s="31"/>
      <c r="B15" s="142"/>
      <c r="C15" s="65"/>
      <c r="D15" s="65"/>
      <c r="E15" s="65"/>
      <c r="F15" s="65"/>
      <c r="G15" s="65"/>
      <c r="H15" s="107"/>
      <c r="N15" s="78"/>
      <c r="O15" s="94"/>
      <c r="P15" s="94"/>
      <c r="Q15" s="94"/>
      <c r="R15" s="94"/>
      <c r="S15" s="94"/>
      <c r="U15" s="323">
        <f>SUM(U7:U14)</f>
        <v>3122</v>
      </c>
      <c r="V15" s="524">
        <f>SUM(V7:V14)</f>
        <v>3780</v>
      </c>
      <c r="W15" s="322">
        <f>SUM(W7:W14)</f>
        <v>8450</v>
      </c>
    </row>
    <row r="16" spans="1:23">
      <c r="C16" s="92"/>
      <c r="D16" s="92"/>
      <c r="E16" s="92"/>
      <c r="F16" s="92"/>
      <c r="G16" s="92"/>
      <c r="N16" s="77"/>
      <c r="O16" s="94"/>
      <c r="P16" s="94"/>
      <c r="Q16" s="94"/>
      <c r="R16" s="94"/>
      <c r="S16" s="94"/>
      <c r="U16" s="165"/>
      <c r="V16" s="523"/>
      <c r="W16" s="321"/>
    </row>
    <row r="17" spans="1:23">
      <c r="A17" s="143" t="s">
        <v>443</v>
      </c>
      <c r="B17">
        <v>0</v>
      </c>
      <c r="C17" s="65">
        <v>685</v>
      </c>
      <c r="D17" s="65">
        <v>375</v>
      </c>
      <c r="E17" s="65">
        <v>195</v>
      </c>
      <c r="F17" s="65">
        <v>235</v>
      </c>
      <c r="G17" s="65">
        <v>475</v>
      </c>
      <c r="H17" s="305">
        <v>1965</v>
      </c>
      <c r="I17" s="304">
        <f t="shared" ref="I17:I47" si="5">C17+D17+E17+F17+G17</f>
        <v>1965</v>
      </c>
      <c r="J17" s="92">
        <v>0</v>
      </c>
      <c r="K17" s="520">
        <v>0</v>
      </c>
      <c r="L17" s="525">
        <v>0</v>
      </c>
      <c r="N17" s="6">
        <v>0</v>
      </c>
      <c r="O17" s="94">
        <f t="shared" ref="O17:O27" si="6">C17*1.33^($N17)/(1.6^($B$3/2))</f>
        <v>3.0782987852480481</v>
      </c>
      <c r="P17" s="94">
        <f t="shared" ref="P17:P27" si="7">D17*1.33^($N17)/(1.6^($B$3/2))</f>
        <v>1.6852000649168146</v>
      </c>
      <c r="Q17" s="94">
        <f t="shared" ref="Q17:Q27" si="8">E17*1.33^($N17)/(1.6^($B$3/2))</f>
        <v>0.87630403375674371</v>
      </c>
      <c r="R17" s="94">
        <f t="shared" ref="R17:R27" si="9">F17*1.33^($N17)/(1.6^($B$3/2))</f>
        <v>1.0560587073478707</v>
      </c>
      <c r="S17" s="94">
        <f t="shared" ref="S17:S27" si="10">G17*1.33^($N17)/(1.6^($B$3/2))</f>
        <v>2.1345867488946322</v>
      </c>
      <c r="U17" s="165">
        <f>(N17+1)*J17</f>
        <v>0</v>
      </c>
      <c r="V17" s="523">
        <f>(N17+1)*K17</f>
        <v>0</v>
      </c>
      <c r="W17" s="321">
        <f>(N17+1)*L17</f>
        <v>0</v>
      </c>
    </row>
    <row r="18" spans="1:23">
      <c r="A18" s="145" t="s">
        <v>494</v>
      </c>
      <c r="B18">
        <v>0</v>
      </c>
      <c r="C18" s="65">
        <v>23400</v>
      </c>
      <c r="D18" s="65">
        <v>9850</v>
      </c>
      <c r="E18" s="65">
        <v>10550</v>
      </c>
      <c r="F18" s="65">
        <v>4950</v>
      </c>
      <c r="G18" s="65">
        <v>14400</v>
      </c>
      <c r="H18" s="306">
        <v>63150</v>
      </c>
      <c r="I18" s="303">
        <f t="shared" si="5"/>
        <v>63150</v>
      </c>
      <c r="J18" s="92">
        <v>106</v>
      </c>
      <c r="K18" s="520">
        <v>50</v>
      </c>
      <c r="L18" s="525">
        <v>50</v>
      </c>
      <c r="N18" s="6">
        <v>0</v>
      </c>
      <c r="O18" s="94">
        <f t="shared" si="6"/>
        <v>105.15648405080924</v>
      </c>
      <c r="P18" s="94">
        <f t="shared" si="7"/>
        <v>44.264588371815002</v>
      </c>
      <c r="Q18" s="94">
        <f t="shared" si="8"/>
        <v>47.410295159659718</v>
      </c>
      <c r="R18" s="94">
        <f t="shared" si="9"/>
        <v>22.244640856901956</v>
      </c>
      <c r="S18" s="94">
        <f t="shared" si="10"/>
        <v>64.711682492805679</v>
      </c>
      <c r="U18" s="165">
        <f>(N18+1)*J18</f>
        <v>106</v>
      </c>
      <c r="V18" s="523">
        <f>(N18+1)*K18</f>
        <v>50</v>
      </c>
      <c r="W18" s="321">
        <f>(N18+1)*L18</f>
        <v>50</v>
      </c>
    </row>
    <row r="19" spans="1:23" ht="15.75">
      <c r="A19" s="106" t="s">
        <v>444</v>
      </c>
      <c r="B19" s="142" t="s">
        <v>498</v>
      </c>
      <c r="C19" s="65">
        <v>5800</v>
      </c>
      <c r="D19" s="65">
        <v>6400</v>
      </c>
      <c r="E19" s="65">
        <v>3500</v>
      </c>
      <c r="F19" s="65">
        <v>5500</v>
      </c>
      <c r="G19" s="65">
        <v>8800</v>
      </c>
      <c r="H19" s="306">
        <v>30560</v>
      </c>
      <c r="I19" s="303">
        <f t="shared" si="5"/>
        <v>30000</v>
      </c>
      <c r="J19" s="92">
        <v>150</v>
      </c>
      <c r="K19" s="520">
        <v>250</v>
      </c>
      <c r="L19" s="525">
        <v>100</v>
      </c>
      <c r="N19" s="186">
        <v>40</v>
      </c>
      <c r="O19" s="94">
        <f t="shared" si="6"/>
        <v>2344843.33506246</v>
      </c>
      <c r="P19" s="94">
        <f t="shared" si="7"/>
        <v>2587413.3352413354</v>
      </c>
      <c r="Q19" s="94">
        <f t="shared" si="8"/>
        <v>1414991.6677101052</v>
      </c>
      <c r="R19" s="94">
        <f t="shared" si="9"/>
        <v>2223558.3349730228</v>
      </c>
      <c r="S19" s="94">
        <f t="shared" si="10"/>
        <v>3557693.3359568366</v>
      </c>
      <c r="U19" s="165">
        <f t="shared" si="2"/>
        <v>6000</v>
      </c>
      <c r="V19" s="523">
        <f t="shared" si="3"/>
        <v>10000</v>
      </c>
      <c r="W19" s="321">
        <f t="shared" ref="W19:W47" si="11">(N19+1)*L19</f>
        <v>4100</v>
      </c>
    </row>
    <row r="20" spans="1:23" ht="15.75">
      <c r="A20" s="106" t="s">
        <v>446</v>
      </c>
      <c r="B20" s="142" t="s">
        <v>498</v>
      </c>
      <c r="C20" s="65">
        <v>6000</v>
      </c>
      <c r="D20" s="65">
        <v>5000</v>
      </c>
      <c r="E20" s="65">
        <v>4500</v>
      </c>
      <c r="F20" s="65">
        <v>5400</v>
      </c>
      <c r="G20" s="65">
        <v>9100</v>
      </c>
      <c r="H20" s="306">
        <v>32055</v>
      </c>
      <c r="I20" s="303">
        <f t="shared" si="5"/>
        <v>30000</v>
      </c>
      <c r="J20" s="92">
        <v>120</v>
      </c>
      <c r="K20" s="520">
        <v>150</v>
      </c>
      <c r="L20" s="525">
        <v>50</v>
      </c>
      <c r="N20" s="186">
        <v>32</v>
      </c>
      <c r="O20" s="94">
        <f t="shared" si="6"/>
        <v>247755.87451181369</v>
      </c>
      <c r="P20" s="94">
        <f t="shared" si="7"/>
        <v>206463.22875984473</v>
      </c>
      <c r="Q20" s="94">
        <f t="shared" si="8"/>
        <v>185816.90588386025</v>
      </c>
      <c r="R20" s="94">
        <f t="shared" si="9"/>
        <v>222980.28706063231</v>
      </c>
      <c r="S20" s="94">
        <f t="shared" si="10"/>
        <v>375763.0763429174</v>
      </c>
      <c r="U20" s="165">
        <f t="shared" si="2"/>
        <v>3840</v>
      </c>
      <c r="V20" s="523">
        <f t="shared" si="3"/>
        <v>4800</v>
      </c>
      <c r="W20" s="321">
        <f t="shared" si="11"/>
        <v>1650</v>
      </c>
    </row>
    <row r="21" spans="1:23" ht="15.75">
      <c r="A21" s="106" t="s">
        <v>640</v>
      </c>
      <c r="B21" s="142" t="s">
        <v>498</v>
      </c>
      <c r="C21" s="65">
        <v>4200</v>
      </c>
      <c r="D21" s="65">
        <v>5200</v>
      </c>
      <c r="E21" s="65">
        <v>6100</v>
      </c>
      <c r="F21" s="65">
        <v>4300</v>
      </c>
      <c r="G21" s="65">
        <v>10200</v>
      </c>
      <c r="H21" s="306">
        <v>13332</v>
      </c>
      <c r="I21" s="303">
        <f t="shared" si="5"/>
        <v>30000</v>
      </c>
      <c r="J21" s="92">
        <v>167</v>
      </c>
      <c r="K21" s="520">
        <v>250</v>
      </c>
      <c r="L21" s="525">
        <v>100</v>
      </c>
      <c r="N21" s="186">
        <v>40</v>
      </c>
      <c r="O21" s="94">
        <f t="shared" si="6"/>
        <v>1697990.0012521264</v>
      </c>
      <c r="P21" s="94">
        <f t="shared" si="7"/>
        <v>2102273.3348835851</v>
      </c>
      <c r="Q21" s="94">
        <f t="shared" si="8"/>
        <v>2466128.3351518982</v>
      </c>
      <c r="R21" s="94">
        <f t="shared" si="9"/>
        <v>1738418.3346152725</v>
      </c>
      <c r="S21" s="94">
        <f t="shared" si="10"/>
        <v>4123690.0030408786</v>
      </c>
      <c r="U21" s="165">
        <f t="shared" si="2"/>
        <v>6680</v>
      </c>
      <c r="V21" s="523">
        <f t="shared" si="3"/>
        <v>10000</v>
      </c>
      <c r="W21" s="321">
        <f t="shared" si="11"/>
        <v>4100</v>
      </c>
    </row>
    <row r="22" spans="1:23">
      <c r="A22" s="145" t="s">
        <v>495</v>
      </c>
      <c r="B22">
        <v>0</v>
      </c>
      <c r="C22" s="65">
        <v>17000</v>
      </c>
      <c r="D22" s="65">
        <v>22500</v>
      </c>
      <c r="E22" s="65">
        <v>16250</v>
      </c>
      <c r="F22" s="65">
        <v>7850</v>
      </c>
      <c r="G22" s="65">
        <v>20050</v>
      </c>
      <c r="H22" s="306">
        <v>83650</v>
      </c>
      <c r="I22" s="303">
        <f t="shared" si="5"/>
        <v>83650</v>
      </c>
      <c r="J22" s="92">
        <v>144</v>
      </c>
      <c r="K22" s="520">
        <v>50</v>
      </c>
      <c r="L22" s="525">
        <v>50</v>
      </c>
      <c r="N22" s="6">
        <v>0</v>
      </c>
      <c r="O22" s="94">
        <f t="shared" si="6"/>
        <v>76.395736276228931</v>
      </c>
      <c r="P22" s="94">
        <f t="shared" si="7"/>
        <v>101.11200389500888</v>
      </c>
      <c r="Q22" s="94">
        <f t="shared" si="8"/>
        <v>73.025336146395304</v>
      </c>
      <c r="R22" s="94">
        <f t="shared" si="9"/>
        <v>35.276854692258652</v>
      </c>
      <c r="S22" s="94">
        <f t="shared" si="10"/>
        <v>90.102030137552362</v>
      </c>
      <c r="U22" s="165">
        <f>(N22+1)*J22</f>
        <v>144</v>
      </c>
      <c r="V22" s="523">
        <f>(N22+1)*K22</f>
        <v>50</v>
      </c>
      <c r="W22" s="321">
        <f>(N22+1)*L22</f>
        <v>50</v>
      </c>
    </row>
    <row r="23" spans="1:23" ht="15.75">
      <c r="A23" s="106" t="s">
        <v>447</v>
      </c>
      <c r="B23" s="142" t="s">
        <v>498</v>
      </c>
      <c r="C23" s="65">
        <v>6800</v>
      </c>
      <c r="D23" s="65">
        <v>5400</v>
      </c>
      <c r="E23" s="65">
        <v>4500</v>
      </c>
      <c r="F23" s="65">
        <v>4400</v>
      </c>
      <c r="G23" s="65">
        <v>8900</v>
      </c>
      <c r="H23" s="306">
        <v>30985</v>
      </c>
      <c r="I23" s="303">
        <f t="shared" si="5"/>
        <v>30000</v>
      </c>
      <c r="J23" s="92">
        <v>156</v>
      </c>
      <c r="K23" s="520">
        <v>150</v>
      </c>
      <c r="L23" s="525">
        <v>50</v>
      </c>
      <c r="N23" s="186">
        <v>30</v>
      </c>
      <c r="O23" s="94">
        <f t="shared" si="6"/>
        <v>158737.06321068961</v>
      </c>
      <c r="P23" s="94">
        <f t="shared" si="7"/>
        <v>126055.90313790058</v>
      </c>
      <c r="Q23" s="94">
        <f t="shared" si="8"/>
        <v>105046.58594825047</v>
      </c>
      <c r="R23" s="94">
        <f t="shared" si="9"/>
        <v>102712.2173716227</v>
      </c>
      <c r="S23" s="94">
        <f t="shared" si="10"/>
        <v>207758.80331987317</v>
      </c>
      <c r="U23" s="165">
        <f t="shared" si="2"/>
        <v>4680</v>
      </c>
      <c r="V23" s="523">
        <f t="shared" si="3"/>
        <v>4500</v>
      </c>
      <c r="W23" s="321">
        <f t="shared" si="11"/>
        <v>1550</v>
      </c>
    </row>
    <row r="24" spans="1:23" ht="15.75">
      <c r="A24" s="106" t="s">
        <v>448</v>
      </c>
      <c r="B24" s="142" t="s">
        <v>498</v>
      </c>
      <c r="C24" s="65">
        <v>4500</v>
      </c>
      <c r="D24" s="65">
        <v>4000</v>
      </c>
      <c r="E24" s="65">
        <v>6000</v>
      </c>
      <c r="F24" s="65">
        <v>3400</v>
      </c>
      <c r="G24" s="65">
        <v>12100</v>
      </c>
      <c r="H24" s="306">
        <v>27295</v>
      </c>
      <c r="I24" s="303">
        <f t="shared" si="5"/>
        <v>30000</v>
      </c>
      <c r="J24" s="92">
        <v>138</v>
      </c>
      <c r="K24" s="520">
        <v>250</v>
      </c>
      <c r="L24" s="525">
        <v>100</v>
      </c>
      <c r="N24" s="186">
        <v>35</v>
      </c>
      <c r="O24" s="94">
        <f t="shared" si="6"/>
        <v>437159.72800788737</v>
      </c>
      <c r="P24" s="94">
        <f t="shared" si="7"/>
        <v>388586.42489589984</v>
      </c>
      <c r="Q24" s="94">
        <f t="shared" si="8"/>
        <v>582879.63734384975</v>
      </c>
      <c r="R24" s="94">
        <f t="shared" si="9"/>
        <v>330298.46116151486</v>
      </c>
      <c r="S24" s="94">
        <f t="shared" si="10"/>
        <v>1175473.9353100972</v>
      </c>
      <c r="U24" s="165">
        <f t="shared" si="2"/>
        <v>4830</v>
      </c>
      <c r="V24" s="523">
        <f t="shared" si="3"/>
        <v>8750</v>
      </c>
      <c r="W24" s="321">
        <f t="shared" si="11"/>
        <v>3600</v>
      </c>
    </row>
    <row r="25" spans="1:23" ht="15.75">
      <c r="A25" s="106" t="s">
        <v>636</v>
      </c>
      <c r="B25" s="142" t="s">
        <v>498</v>
      </c>
      <c r="C25" s="65">
        <v>5500</v>
      </c>
      <c r="D25" s="65">
        <v>5000</v>
      </c>
      <c r="E25" s="65">
        <v>4500</v>
      </c>
      <c r="F25" s="65">
        <v>3900</v>
      </c>
      <c r="G25" s="65">
        <v>11100</v>
      </c>
      <c r="H25" s="306">
        <v>12767</v>
      </c>
      <c r="I25" s="303">
        <f t="shared" si="5"/>
        <v>30000</v>
      </c>
      <c r="J25" s="92">
        <v>147</v>
      </c>
      <c r="K25" s="520">
        <v>250</v>
      </c>
      <c r="L25" s="525">
        <v>100</v>
      </c>
      <c r="N25" s="186">
        <v>35</v>
      </c>
      <c r="O25" s="94">
        <f t="shared" si="6"/>
        <v>534306.33423186233</v>
      </c>
      <c r="P25" s="94">
        <f t="shared" si="7"/>
        <v>485733.03111987479</v>
      </c>
      <c r="Q25" s="94">
        <f t="shared" si="8"/>
        <v>437159.72800788737</v>
      </c>
      <c r="R25" s="94">
        <f t="shared" si="9"/>
        <v>378871.7642735024</v>
      </c>
      <c r="S25" s="94">
        <f t="shared" si="10"/>
        <v>1078327.3290861221</v>
      </c>
      <c r="U25" s="165">
        <f t="shared" si="2"/>
        <v>5145</v>
      </c>
      <c r="V25" s="523">
        <f t="shared" si="3"/>
        <v>8750</v>
      </c>
      <c r="W25" s="321">
        <f t="shared" si="11"/>
        <v>3600</v>
      </c>
    </row>
    <row r="26" spans="1:23" ht="15.75">
      <c r="A26" s="145" t="s">
        <v>434</v>
      </c>
      <c r="B26" s="142" t="s">
        <v>498</v>
      </c>
      <c r="C26" s="65">
        <v>1400</v>
      </c>
      <c r="D26" s="65">
        <v>1500</v>
      </c>
      <c r="E26" s="65">
        <v>2200</v>
      </c>
      <c r="F26" s="65">
        <v>2000</v>
      </c>
      <c r="G26" s="65">
        <v>2900</v>
      </c>
      <c r="H26" s="306">
        <v>8865</v>
      </c>
      <c r="I26" s="303">
        <f t="shared" si="5"/>
        <v>10000</v>
      </c>
      <c r="J26" s="92">
        <v>14</v>
      </c>
      <c r="K26" s="520">
        <v>50</v>
      </c>
      <c r="L26" s="525">
        <v>50</v>
      </c>
      <c r="N26" s="186">
        <v>36</v>
      </c>
      <c r="O26" s="94">
        <f t="shared" si="6"/>
        <v>180886.98078904144</v>
      </c>
      <c r="P26" s="94">
        <f t="shared" si="7"/>
        <v>193807.47941683009</v>
      </c>
      <c r="Q26" s="94">
        <f t="shared" si="8"/>
        <v>284250.96981135081</v>
      </c>
      <c r="R26" s="94">
        <f t="shared" si="9"/>
        <v>258409.97255577345</v>
      </c>
      <c r="S26" s="94">
        <f t="shared" si="10"/>
        <v>374694.4602058715</v>
      </c>
      <c r="U26" s="165">
        <f t="shared" si="2"/>
        <v>504</v>
      </c>
      <c r="V26" s="523">
        <f t="shared" si="3"/>
        <v>1800</v>
      </c>
      <c r="W26" s="321">
        <f t="shared" si="11"/>
        <v>1850</v>
      </c>
    </row>
    <row r="27" spans="1:23">
      <c r="A27" s="145" t="s">
        <v>496</v>
      </c>
      <c r="B27">
        <v>0</v>
      </c>
      <c r="C27" s="65">
        <v>1250</v>
      </c>
      <c r="D27" s="65">
        <v>2755</v>
      </c>
      <c r="E27" s="65">
        <v>395</v>
      </c>
      <c r="F27" s="65">
        <v>545</v>
      </c>
      <c r="G27" s="65">
        <v>2105</v>
      </c>
      <c r="H27" s="306">
        <v>7050</v>
      </c>
      <c r="I27" s="303">
        <f t="shared" si="5"/>
        <v>7050</v>
      </c>
      <c r="J27" s="92">
        <v>13</v>
      </c>
      <c r="K27" s="520">
        <v>50</v>
      </c>
      <c r="L27" s="525">
        <v>50</v>
      </c>
      <c r="N27" s="6">
        <v>0</v>
      </c>
      <c r="O27" s="94">
        <f t="shared" si="6"/>
        <v>5.6173335497227157</v>
      </c>
      <c r="P27" s="94">
        <f t="shared" si="7"/>
        <v>12.380603143588866</v>
      </c>
      <c r="Q27" s="94">
        <f t="shared" si="8"/>
        <v>1.7750774017123783</v>
      </c>
      <c r="R27" s="94">
        <f t="shared" si="9"/>
        <v>2.4491574276791042</v>
      </c>
      <c r="S27" s="94">
        <f t="shared" si="10"/>
        <v>9.4595896977330529</v>
      </c>
      <c r="U27" s="165">
        <f>(N27+1)*J27</f>
        <v>13</v>
      </c>
      <c r="V27" s="523">
        <f>(N27+1)*K27</f>
        <v>50</v>
      </c>
      <c r="W27" s="321">
        <f>(N27+1)*L27</f>
        <v>50</v>
      </c>
    </row>
    <row r="28" spans="1:23">
      <c r="A28" s="145" t="s">
        <v>702</v>
      </c>
      <c r="B28">
        <v>0</v>
      </c>
      <c r="C28" s="65">
        <v>10000</v>
      </c>
      <c r="D28" s="65">
        <v>10000</v>
      </c>
      <c r="E28" s="65">
        <v>10000</v>
      </c>
      <c r="F28" s="65">
        <v>10000</v>
      </c>
      <c r="G28" s="65">
        <v>20000</v>
      </c>
      <c r="H28" s="306"/>
      <c r="I28" s="303">
        <f t="shared" si="5"/>
        <v>60000</v>
      </c>
      <c r="K28" s="520">
        <v>50</v>
      </c>
      <c r="L28" s="525">
        <v>50</v>
      </c>
      <c r="N28" s="6">
        <v>0</v>
      </c>
      <c r="O28" s="94"/>
      <c r="P28" s="94"/>
      <c r="Q28" s="94"/>
      <c r="R28" s="94"/>
      <c r="S28" s="94"/>
      <c r="U28" s="165">
        <f>(N28+1)*J28</f>
        <v>0</v>
      </c>
      <c r="V28" s="523">
        <f>(N28+1)*K28</f>
        <v>50</v>
      </c>
      <c r="W28" s="321">
        <f>(N28+1)*L28</f>
        <v>50</v>
      </c>
    </row>
    <row r="29" spans="1:23" ht="15.75">
      <c r="A29" s="106" t="s">
        <v>449</v>
      </c>
      <c r="B29" s="142" t="s">
        <v>498</v>
      </c>
      <c r="C29" s="65">
        <v>4500</v>
      </c>
      <c r="D29" s="65">
        <v>2500</v>
      </c>
      <c r="E29" s="65">
        <v>3800</v>
      </c>
      <c r="F29" s="65">
        <v>2000</v>
      </c>
      <c r="G29" s="65">
        <v>7200</v>
      </c>
      <c r="H29" s="306">
        <v>25375</v>
      </c>
      <c r="I29" s="303">
        <f t="shared" si="5"/>
        <v>20000</v>
      </c>
      <c r="J29" s="92">
        <v>60</v>
      </c>
      <c r="K29" s="520">
        <v>150</v>
      </c>
      <c r="L29" s="525">
        <v>50</v>
      </c>
      <c r="N29" s="186">
        <v>31</v>
      </c>
      <c r="O29" s="94">
        <f t="shared" ref="O29:O39" si="12">C29*1.33^($N29)/(1.6^($B$3/2))</f>
        <v>139711.95931117312</v>
      </c>
      <c r="P29" s="94">
        <f t="shared" ref="P29:P39" si="13">D29*1.33^($N29)/(1.6^($B$3/2))</f>
        <v>77617.755172873964</v>
      </c>
      <c r="Q29" s="94">
        <f t="shared" ref="Q29:Q39" si="14">E29*1.33^($N29)/(1.6^($B$3/2))</f>
        <v>117978.98786276839</v>
      </c>
      <c r="R29" s="94">
        <f t="shared" ref="R29:R39" si="15">F29*1.33^($N29)/(1.6^($B$3/2))</f>
        <v>62094.204138299167</v>
      </c>
      <c r="S29" s="94">
        <f t="shared" ref="S29:S39" si="16">G29*1.33^($N29)/(1.6^($B$3/2))</f>
        <v>223539.13489787697</v>
      </c>
      <c r="U29" s="165">
        <f t="shared" si="2"/>
        <v>1860</v>
      </c>
      <c r="V29" s="523">
        <f t="shared" si="3"/>
        <v>4650</v>
      </c>
      <c r="W29" s="321">
        <f t="shared" si="11"/>
        <v>1600</v>
      </c>
    </row>
    <row r="30" spans="1:23" ht="15.75">
      <c r="A30" s="106" t="s">
        <v>450</v>
      </c>
      <c r="B30" s="142" t="s">
        <v>498</v>
      </c>
      <c r="C30" s="65">
        <v>4000</v>
      </c>
      <c r="D30" s="65">
        <v>3900</v>
      </c>
      <c r="E30" s="65">
        <v>3500</v>
      </c>
      <c r="F30" s="65">
        <v>3300</v>
      </c>
      <c r="G30" s="65">
        <v>5300</v>
      </c>
      <c r="H30" s="306">
        <v>17295</v>
      </c>
      <c r="I30" s="303">
        <f t="shared" si="5"/>
        <v>20000</v>
      </c>
      <c r="J30" s="92">
        <v>120</v>
      </c>
      <c r="K30" s="520">
        <v>250</v>
      </c>
      <c r="L30" s="525">
        <v>100</v>
      </c>
      <c r="N30" s="186">
        <v>39</v>
      </c>
      <c r="O30" s="94">
        <f t="shared" si="12"/>
        <v>1215889.7252073945</v>
      </c>
      <c r="P30" s="94">
        <f t="shared" si="13"/>
        <v>1185492.4820772095</v>
      </c>
      <c r="Q30" s="94">
        <f t="shared" si="14"/>
        <v>1063903.50955647</v>
      </c>
      <c r="R30" s="94">
        <f t="shared" si="15"/>
        <v>1003109.0232961003</v>
      </c>
      <c r="S30" s="94">
        <f t="shared" si="16"/>
        <v>1611053.8858997975</v>
      </c>
      <c r="U30" s="165">
        <f t="shared" si="2"/>
        <v>4680</v>
      </c>
      <c r="V30" s="523">
        <f t="shared" si="3"/>
        <v>9750</v>
      </c>
      <c r="W30" s="321">
        <f t="shared" si="11"/>
        <v>4000</v>
      </c>
    </row>
    <row r="31" spans="1:23" ht="15.75">
      <c r="A31" s="106" t="s">
        <v>452</v>
      </c>
      <c r="B31" s="142" t="s">
        <v>498</v>
      </c>
      <c r="C31" s="65">
        <v>4700</v>
      </c>
      <c r="D31" s="65">
        <v>4500</v>
      </c>
      <c r="E31" s="65">
        <v>1400</v>
      </c>
      <c r="F31" s="65">
        <v>3200</v>
      </c>
      <c r="G31" s="65">
        <v>6200</v>
      </c>
      <c r="H31" s="306">
        <v>40800</v>
      </c>
      <c r="I31" s="303">
        <f t="shared" si="5"/>
        <v>20000</v>
      </c>
      <c r="J31" s="92">
        <v>130</v>
      </c>
      <c r="K31" s="520">
        <v>250</v>
      </c>
      <c r="L31" s="525">
        <v>100</v>
      </c>
      <c r="N31" s="186">
        <v>35</v>
      </c>
      <c r="O31" s="94">
        <f t="shared" si="12"/>
        <v>456589.04925268237</v>
      </c>
      <c r="P31" s="94">
        <f t="shared" si="13"/>
        <v>437159.72800788737</v>
      </c>
      <c r="Q31" s="94">
        <f t="shared" si="14"/>
        <v>136005.24871356497</v>
      </c>
      <c r="R31" s="94">
        <f t="shared" si="15"/>
        <v>310869.13991671987</v>
      </c>
      <c r="S31" s="94">
        <f t="shared" si="16"/>
        <v>602308.95858864475</v>
      </c>
      <c r="U31" s="165">
        <f t="shared" si="2"/>
        <v>4550</v>
      </c>
      <c r="V31" s="523">
        <f t="shared" si="3"/>
        <v>8750</v>
      </c>
      <c r="W31" s="321">
        <f t="shared" si="11"/>
        <v>3600</v>
      </c>
    </row>
    <row r="32" spans="1:23">
      <c r="A32" s="145" t="s">
        <v>635</v>
      </c>
      <c r="B32">
        <v>0</v>
      </c>
      <c r="C32" s="65">
        <v>2000</v>
      </c>
      <c r="D32" s="65">
        <v>2000</v>
      </c>
      <c r="E32" s="65">
        <v>2000</v>
      </c>
      <c r="F32" s="65">
        <v>2000</v>
      </c>
      <c r="G32" s="65">
        <v>4000</v>
      </c>
      <c r="H32" s="306">
        <v>50000</v>
      </c>
      <c r="I32" s="303">
        <f t="shared" si="5"/>
        <v>12000</v>
      </c>
      <c r="J32" s="92">
        <v>150</v>
      </c>
      <c r="K32" s="520">
        <v>50</v>
      </c>
      <c r="L32" s="525">
        <v>50</v>
      </c>
      <c r="N32" s="6">
        <v>0</v>
      </c>
      <c r="O32" s="94">
        <f t="shared" si="12"/>
        <v>8.9877336795563458</v>
      </c>
      <c r="P32" s="94">
        <f t="shared" si="13"/>
        <v>8.9877336795563458</v>
      </c>
      <c r="Q32" s="94">
        <f t="shared" si="14"/>
        <v>8.9877336795563458</v>
      </c>
      <c r="R32" s="94">
        <f t="shared" si="15"/>
        <v>8.9877336795563458</v>
      </c>
      <c r="S32" s="94">
        <f t="shared" si="16"/>
        <v>17.975467359112692</v>
      </c>
      <c r="U32" s="165">
        <f>(N32+1)*J32</f>
        <v>150</v>
      </c>
      <c r="V32" s="523">
        <f>(N32+1)*K32</f>
        <v>50</v>
      </c>
      <c r="W32" s="321">
        <f>(N32+1)*L32</f>
        <v>50</v>
      </c>
    </row>
    <row r="33" spans="1:23" ht="15.75">
      <c r="A33" s="106" t="s">
        <v>637</v>
      </c>
      <c r="B33" s="142" t="s">
        <v>498</v>
      </c>
      <c r="C33" s="65">
        <v>2000</v>
      </c>
      <c r="D33" s="65">
        <v>1300</v>
      </c>
      <c r="E33" s="65">
        <v>1200</v>
      </c>
      <c r="F33" s="65">
        <v>1800</v>
      </c>
      <c r="G33" s="65">
        <v>3700</v>
      </c>
      <c r="H33" s="306">
        <v>31945</v>
      </c>
      <c r="I33" s="303">
        <f t="shared" si="5"/>
        <v>10000</v>
      </c>
      <c r="J33" s="92">
        <v>85</v>
      </c>
      <c r="K33" s="520">
        <v>150</v>
      </c>
      <c r="L33" s="525">
        <v>100</v>
      </c>
      <c r="N33" s="186">
        <v>31</v>
      </c>
      <c r="O33" s="94">
        <f t="shared" si="12"/>
        <v>62094.204138299167</v>
      </c>
      <c r="P33" s="94">
        <f t="shared" si="13"/>
        <v>40361.232689894452</v>
      </c>
      <c r="Q33" s="94">
        <f t="shared" si="14"/>
        <v>37256.522482979497</v>
      </c>
      <c r="R33" s="94">
        <f t="shared" si="15"/>
        <v>55884.783724469242</v>
      </c>
      <c r="S33" s="94">
        <f t="shared" si="16"/>
        <v>114874.27765585345</v>
      </c>
      <c r="U33" s="165">
        <f t="shared" si="2"/>
        <v>2635</v>
      </c>
      <c r="V33" s="523">
        <f t="shared" si="3"/>
        <v>4650</v>
      </c>
      <c r="W33" s="321">
        <f t="shared" si="11"/>
        <v>3200</v>
      </c>
    </row>
    <row r="34" spans="1:23" ht="15.75">
      <c r="A34" s="106" t="s">
        <v>638</v>
      </c>
      <c r="B34" s="142" t="s">
        <v>498</v>
      </c>
      <c r="C34" s="65">
        <v>1800</v>
      </c>
      <c r="D34" s="65">
        <v>1600</v>
      </c>
      <c r="E34" s="65">
        <v>600</v>
      </c>
      <c r="F34" s="65">
        <v>2600</v>
      </c>
      <c r="G34" s="65">
        <v>3400</v>
      </c>
      <c r="H34" s="306">
        <v>36001</v>
      </c>
      <c r="I34" s="303">
        <f t="shared" si="5"/>
        <v>10000</v>
      </c>
      <c r="J34" s="92">
        <v>85</v>
      </c>
      <c r="K34" s="520">
        <v>150</v>
      </c>
      <c r="L34" s="525">
        <v>100</v>
      </c>
      <c r="N34" s="186">
        <v>34</v>
      </c>
      <c r="O34" s="94">
        <f t="shared" si="12"/>
        <v>131476.60992718418</v>
      </c>
      <c r="P34" s="94">
        <f t="shared" si="13"/>
        <v>116868.0977130526</v>
      </c>
      <c r="Q34" s="94">
        <f t="shared" si="14"/>
        <v>43825.53664239472</v>
      </c>
      <c r="R34" s="94">
        <f t="shared" si="15"/>
        <v>189910.65878371047</v>
      </c>
      <c r="S34" s="94">
        <f t="shared" si="16"/>
        <v>248344.70764023677</v>
      </c>
      <c r="U34" s="165">
        <f t="shared" si="2"/>
        <v>2890</v>
      </c>
      <c r="V34" s="523">
        <f t="shared" si="3"/>
        <v>5100</v>
      </c>
      <c r="W34" s="321">
        <f t="shared" si="11"/>
        <v>3500</v>
      </c>
    </row>
    <row r="35" spans="1:23" ht="15.75">
      <c r="A35" s="106" t="s">
        <v>639</v>
      </c>
      <c r="B35" s="142" t="s">
        <v>498</v>
      </c>
      <c r="C35" s="65">
        <v>700</v>
      </c>
      <c r="D35" s="65">
        <v>3200</v>
      </c>
      <c r="E35" s="65">
        <v>800</v>
      </c>
      <c r="F35" s="65">
        <v>1700</v>
      </c>
      <c r="G35" s="65">
        <v>3600</v>
      </c>
      <c r="H35" s="306">
        <v>18625</v>
      </c>
      <c r="I35" s="303">
        <f t="shared" si="5"/>
        <v>10000</v>
      </c>
      <c r="J35" s="92">
        <v>85</v>
      </c>
      <c r="K35" s="520">
        <v>100</v>
      </c>
      <c r="L35" s="525">
        <v>50</v>
      </c>
      <c r="N35" s="186">
        <v>33</v>
      </c>
      <c r="O35" s="94">
        <f t="shared" si="12"/>
        <v>38443.453195083093</v>
      </c>
      <c r="P35" s="94">
        <f t="shared" si="13"/>
        <v>175741.50032037986</v>
      </c>
      <c r="Q35" s="94">
        <f t="shared" si="14"/>
        <v>43935.375080094964</v>
      </c>
      <c r="R35" s="94">
        <f t="shared" si="15"/>
        <v>93362.672045201791</v>
      </c>
      <c r="S35" s="94">
        <f t="shared" si="16"/>
        <v>197709.18786042734</v>
      </c>
      <c r="U35" s="165">
        <f t="shared" si="2"/>
        <v>2805</v>
      </c>
      <c r="V35" s="523">
        <f t="shared" si="3"/>
        <v>3300</v>
      </c>
      <c r="W35" s="321">
        <f t="shared" si="11"/>
        <v>1700</v>
      </c>
    </row>
    <row r="36" spans="1:23" ht="15.75">
      <c r="A36" s="106" t="s">
        <v>451</v>
      </c>
      <c r="B36" s="142" t="s">
        <v>498</v>
      </c>
      <c r="C36" s="65">
        <v>4500</v>
      </c>
      <c r="D36" s="65">
        <v>5500</v>
      </c>
      <c r="E36" s="65">
        <v>1500</v>
      </c>
      <c r="F36" s="65">
        <v>1700</v>
      </c>
      <c r="G36" s="65">
        <v>6800</v>
      </c>
      <c r="H36" s="306">
        <v>56200</v>
      </c>
      <c r="I36" s="303">
        <f t="shared" si="5"/>
        <v>20000</v>
      </c>
      <c r="J36" s="92">
        <v>125</v>
      </c>
      <c r="K36" s="520">
        <v>100</v>
      </c>
      <c r="L36" s="525">
        <v>50</v>
      </c>
      <c r="N36" s="186">
        <v>28</v>
      </c>
      <c r="O36" s="94">
        <f t="shared" si="12"/>
        <v>59385.259736701038</v>
      </c>
      <c r="P36" s="94">
        <f t="shared" si="13"/>
        <v>72581.984122634603</v>
      </c>
      <c r="Q36" s="94">
        <f t="shared" si="14"/>
        <v>19795.086578900344</v>
      </c>
      <c r="R36" s="94">
        <f t="shared" si="15"/>
        <v>22434.431456087055</v>
      </c>
      <c r="S36" s="94">
        <f t="shared" si="16"/>
        <v>89737.725824348221</v>
      </c>
      <c r="U36" s="165">
        <f t="shared" si="2"/>
        <v>3500</v>
      </c>
      <c r="V36" s="523">
        <f t="shared" si="3"/>
        <v>2800</v>
      </c>
      <c r="W36" s="321">
        <f t="shared" si="11"/>
        <v>1450</v>
      </c>
    </row>
    <row r="37" spans="1:23" ht="15.75">
      <c r="A37" s="145" t="s">
        <v>435</v>
      </c>
      <c r="B37" s="142" t="s">
        <v>498</v>
      </c>
      <c r="C37" s="65">
        <v>3300</v>
      </c>
      <c r="D37" s="65">
        <v>2800</v>
      </c>
      <c r="E37" s="65">
        <v>1100</v>
      </c>
      <c r="F37" s="65">
        <v>1500</v>
      </c>
      <c r="G37" s="65">
        <v>1300</v>
      </c>
      <c r="H37" s="306">
        <v>10790</v>
      </c>
      <c r="I37" s="303">
        <f t="shared" si="5"/>
        <v>10000</v>
      </c>
      <c r="J37" s="92">
        <v>17</v>
      </c>
      <c r="K37" s="520">
        <v>50</v>
      </c>
      <c r="L37" s="525">
        <v>50</v>
      </c>
      <c r="N37" s="186">
        <v>39</v>
      </c>
      <c r="O37" s="94">
        <f t="shared" si="12"/>
        <v>1003109.0232961003</v>
      </c>
      <c r="P37" s="94">
        <f t="shared" si="13"/>
        <v>851122.80764517619</v>
      </c>
      <c r="Q37" s="94">
        <f t="shared" si="14"/>
        <v>334369.67443203344</v>
      </c>
      <c r="R37" s="94">
        <f t="shared" si="15"/>
        <v>455958.64695277292</v>
      </c>
      <c r="S37" s="94">
        <f t="shared" si="16"/>
        <v>395164.16069240315</v>
      </c>
      <c r="U37" s="165">
        <f t="shared" si="2"/>
        <v>663</v>
      </c>
      <c r="V37" s="523">
        <f t="shared" si="3"/>
        <v>1950</v>
      </c>
      <c r="W37" s="321">
        <f t="shared" si="11"/>
        <v>2000</v>
      </c>
    </row>
    <row r="38" spans="1:23">
      <c r="A38" s="145" t="s">
        <v>497</v>
      </c>
      <c r="B38">
        <v>0</v>
      </c>
      <c r="C38" s="65">
        <v>2500</v>
      </c>
      <c r="D38" s="65">
        <v>500</v>
      </c>
      <c r="E38" s="65">
        <v>2200</v>
      </c>
      <c r="F38" s="65">
        <v>1800</v>
      </c>
      <c r="G38" s="65">
        <v>455</v>
      </c>
      <c r="H38" s="306">
        <v>7455</v>
      </c>
      <c r="I38" s="303">
        <f t="shared" si="5"/>
        <v>7455</v>
      </c>
      <c r="J38" s="92">
        <v>11</v>
      </c>
      <c r="K38" s="520">
        <v>50</v>
      </c>
      <c r="L38" s="525">
        <v>50</v>
      </c>
      <c r="N38" s="6">
        <v>0</v>
      </c>
      <c r="O38" s="94">
        <f t="shared" si="12"/>
        <v>11.234667099445431</v>
      </c>
      <c r="P38" s="94">
        <f t="shared" si="13"/>
        <v>2.2469334198890865</v>
      </c>
      <c r="Q38" s="94">
        <f t="shared" si="14"/>
        <v>9.8865070475119801</v>
      </c>
      <c r="R38" s="94">
        <f t="shared" si="15"/>
        <v>8.0889603116007098</v>
      </c>
      <c r="S38" s="94">
        <f t="shared" si="16"/>
        <v>2.0447094120990688</v>
      </c>
      <c r="U38" s="165">
        <f>(N38+1)*J38</f>
        <v>11</v>
      </c>
      <c r="V38" s="523">
        <f>(N38+1)*K38</f>
        <v>50</v>
      </c>
      <c r="W38" s="321">
        <f>(N38+1)*L38</f>
        <v>50</v>
      </c>
    </row>
    <row r="39" spans="1:23">
      <c r="A39" s="145" t="s">
        <v>703</v>
      </c>
      <c r="B39">
        <v>0</v>
      </c>
      <c r="C39" s="65">
        <v>10000</v>
      </c>
      <c r="D39" s="65">
        <v>10000</v>
      </c>
      <c r="E39" s="65">
        <v>10000</v>
      </c>
      <c r="F39" s="65">
        <v>10000</v>
      </c>
      <c r="G39" s="65">
        <v>20000</v>
      </c>
      <c r="H39" s="306"/>
      <c r="I39" s="303">
        <f t="shared" si="5"/>
        <v>60000</v>
      </c>
      <c r="K39" s="520">
        <v>50</v>
      </c>
      <c r="L39" s="525">
        <v>50</v>
      </c>
      <c r="N39" s="6">
        <v>0</v>
      </c>
      <c r="O39" s="94">
        <f t="shared" si="12"/>
        <v>44.938668397781726</v>
      </c>
      <c r="P39" s="94">
        <f t="shared" si="13"/>
        <v>44.938668397781726</v>
      </c>
      <c r="Q39" s="94">
        <f t="shared" si="14"/>
        <v>44.938668397781726</v>
      </c>
      <c r="R39" s="94">
        <f t="shared" si="15"/>
        <v>44.938668397781726</v>
      </c>
      <c r="S39" s="94">
        <f t="shared" si="16"/>
        <v>89.877336795563451</v>
      </c>
      <c r="U39" s="165">
        <f>(N39+1)*J39</f>
        <v>0</v>
      </c>
      <c r="V39" s="523">
        <f>(N39+1)*K39</f>
        <v>50</v>
      </c>
      <c r="W39" s="321">
        <f>(N39+1)*L39</f>
        <v>50</v>
      </c>
    </row>
    <row r="40" spans="1:23" ht="15.75">
      <c r="A40" s="106" t="s">
        <v>453</v>
      </c>
      <c r="B40" s="142" t="s">
        <v>498</v>
      </c>
      <c r="C40" s="65">
        <v>3200</v>
      </c>
      <c r="D40" s="65">
        <v>2000</v>
      </c>
      <c r="E40" s="65">
        <v>2700</v>
      </c>
      <c r="F40" s="65">
        <v>2600</v>
      </c>
      <c r="G40" s="65">
        <v>4500</v>
      </c>
      <c r="H40" s="306">
        <v>9895</v>
      </c>
      <c r="I40" s="303">
        <f t="shared" si="5"/>
        <v>15000</v>
      </c>
      <c r="J40" s="92">
        <v>48</v>
      </c>
      <c r="K40" s="520">
        <v>250</v>
      </c>
      <c r="L40" s="525">
        <v>100</v>
      </c>
      <c r="N40" s="186">
        <v>37</v>
      </c>
      <c r="O40" s="94">
        <f t="shared" ref="O40:S47" si="17">C40*1.33^($N40)/(1.6^($B$3/2))</f>
        <v>549896.42159868602</v>
      </c>
      <c r="P40" s="94">
        <f t="shared" si="17"/>
        <v>343685.26349917875</v>
      </c>
      <c r="Q40" s="94">
        <f t="shared" si="17"/>
        <v>463975.10572389135</v>
      </c>
      <c r="R40" s="94">
        <f t="shared" si="17"/>
        <v>446790.84254893236</v>
      </c>
      <c r="S40" s="94">
        <f t="shared" si="17"/>
        <v>773291.84287315211</v>
      </c>
      <c r="U40" s="165">
        <f t="shared" si="2"/>
        <v>1776</v>
      </c>
      <c r="V40" s="523">
        <f t="shared" si="3"/>
        <v>9250</v>
      </c>
      <c r="W40" s="321">
        <f t="shared" si="11"/>
        <v>3800</v>
      </c>
    </row>
    <row r="41" spans="1:23" ht="15.75">
      <c r="A41" s="106" t="s">
        <v>454</v>
      </c>
      <c r="B41" s="142" t="s">
        <v>498</v>
      </c>
      <c r="C41" s="65">
        <v>4800</v>
      </c>
      <c r="D41" s="65">
        <v>1000</v>
      </c>
      <c r="E41" s="65">
        <v>1000</v>
      </c>
      <c r="F41" s="65">
        <v>3600</v>
      </c>
      <c r="G41" s="65">
        <v>4600</v>
      </c>
      <c r="H41" s="306">
        <v>7680</v>
      </c>
      <c r="I41" s="303">
        <f t="shared" si="5"/>
        <v>15000</v>
      </c>
      <c r="J41" s="92">
        <v>50</v>
      </c>
      <c r="K41" s="520">
        <v>250</v>
      </c>
      <c r="L41" s="525">
        <v>100</v>
      </c>
      <c r="N41" s="186">
        <v>36</v>
      </c>
      <c r="O41" s="94">
        <f t="shared" si="17"/>
        <v>620183.93413385621</v>
      </c>
      <c r="P41" s="94">
        <f t="shared" si="17"/>
        <v>129204.98627788672</v>
      </c>
      <c r="Q41" s="94">
        <f t="shared" si="17"/>
        <v>129204.98627788672</v>
      </c>
      <c r="R41" s="94">
        <f t="shared" si="17"/>
        <v>465137.95060039219</v>
      </c>
      <c r="S41" s="94">
        <f t="shared" si="17"/>
        <v>594342.93687827885</v>
      </c>
      <c r="U41" s="165">
        <f t="shared" si="2"/>
        <v>1800</v>
      </c>
      <c r="V41" s="523">
        <f t="shared" si="3"/>
        <v>9000</v>
      </c>
      <c r="W41" s="321">
        <f t="shared" si="11"/>
        <v>3700</v>
      </c>
    </row>
    <row r="42" spans="1:23" ht="15.75">
      <c r="A42" s="106" t="s">
        <v>455</v>
      </c>
      <c r="B42" s="142" t="s">
        <v>498</v>
      </c>
      <c r="C42" s="65">
        <v>1700</v>
      </c>
      <c r="D42" s="65">
        <v>4800</v>
      </c>
      <c r="E42" s="65">
        <v>2300</v>
      </c>
      <c r="F42" s="65">
        <v>300</v>
      </c>
      <c r="G42" s="65">
        <v>5900</v>
      </c>
      <c r="H42" s="306">
        <v>21180</v>
      </c>
      <c r="I42" s="303">
        <f t="shared" si="5"/>
        <v>15000</v>
      </c>
      <c r="J42" s="92">
        <v>30</v>
      </c>
      <c r="K42" s="520">
        <v>150</v>
      </c>
      <c r="L42" s="525">
        <v>50</v>
      </c>
      <c r="N42" s="186">
        <v>33</v>
      </c>
      <c r="O42" s="94">
        <f t="shared" si="17"/>
        <v>93362.672045201791</v>
      </c>
      <c r="P42" s="94">
        <f t="shared" si="17"/>
        <v>263612.25048056978</v>
      </c>
      <c r="Q42" s="94">
        <f t="shared" si="17"/>
        <v>126314.20335527301</v>
      </c>
      <c r="R42" s="94">
        <f t="shared" si="17"/>
        <v>16475.765655035611</v>
      </c>
      <c r="S42" s="94">
        <f t="shared" si="17"/>
        <v>324023.39121570037</v>
      </c>
      <c r="U42" s="165">
        <f t="shared" si="2"/>
        <v>990</v>
      </c>
      <c r="V42" s="523">
        <f t="shared" si="3"/>
        <v>4950</v>
      </c>
      <c r="W42" s="321">
        <f t="shared" si="11"/>
        <v>1700</v>
      </c>
    </row>
    <row r="43" spans="1:23">
      <c r="A43" s="145" t="s">
        <v>704</v>
      </c>
      <c r="B43">
        <v>0</v>
      </c>
      <c r="C43" s="65">
        <v>2000</v>
      </c>
      <c r="D43" s="65">
        <v>2000</v>
      </c>
      <c r="E43" s="65">
        <v>2000</v>
      </c>
      <c r="F43" s="65">
        <v>2000</v>
      </c>
      <c r="G43" s="65">
        <v>4000</v>
      </c>
      <c r="H43" s="306">
        <v>50000</v>
      </c>
      <c r="I43" s="303">
        <f t="shared" si="5"/>
        <v>12000</v>
      </c>
      <c r="K43" s="520">
        <v>50</v>
      </c>
      <c r="L43" s="525">
        <v>50</v>
      </c>
      <c r="N43" s="6">
        <v>0</v>
      </c>
      <c r="O43" s="94">
        <f t="shared" si="17"/>
        <v>8.9877336795563458</v>
      </c>
      <c r="P43" s="94">
        <f t="shared" si="17"/>
        <v>8.9877336795563458</v>
      </c>
      <c r="Q43" s="94">
        <f t="shared" si="17"/>
        <v>8.9877336795563458</v>
      </c>
      <c r="R43" s="94">
        <f t="shared" si="17"/>
        <v>8.9877336795563458</v>
      </c>
      <c r="S43" s="94">
        <f t="shared" si="17"/>
        <v>17.975467359112692</v>
      </c>
      <c r="U43" s="165">
        <f>(N43+1)*J43</f>
        <v>0</v>
      </c>
      <c r="V43" s="523">
        <f>(N43+1)*K43</f>
        <v>50</v>
      </c>
      <c r="W43" s="321">
        <f>(N43+1)*L43</f>
        <v>50</v>
      </c>
    </row>
    <row r="44" spans="1:23" ht="15.75">
      <c r="A44" s="106" t="s">
        <v>705</v>
      </c>
      <c r="B44" s="142" t="s">
        <v>498</v>
      </c>
      <c r="C44" s="65">
        <v>2300</v>
      </c>
      <c r="D44" s="65">
        <v>500</v>
      </c>
      <c r="E44" s="65">
        <v>800</v>
      </c>
      <c r="F44" s="65">
        <v>4000</v>
      </c>
      <c r="G44" s="65">
        <v>2400</v>
      </c>
      <c r="H44" s="306">
        <v>24300</v>
      </c>
      <c r="I44" s="303">
        <f t="shared" si="5"/>
        <v>10000</v>
      </c>
      <c r="J44" s="92">
        <v>80</v>
      </c>
      <c r="K44" s="520">
        <v>100</v>
      </c>
      <c r="L44" s="525">
        <v>50</v>
      </c>
      <c r="N44" s="186">
        <v>32</v>
      </c>
      <c r="O44" s="94">
        <f t="shared" si="17"/>
        <v>94973.085229528588</v>
      </c>
      <c r="P44" s="94">
        <f t="shared" si="17"/>
        <v>20646.322875984475</v>
      </c>
      <c r="Q44" s="94">
        <f t="shared" si="17"/>
        <v>33034.116601575159</v>
      </c>
      <c r="R44" s="94">
        <f t="shared" si="17"/>
        <v>165170.5830078758</v>
      </c>
      <c r="S44" s="94">
        <f t="shared" si="17"/>
        <v>99102.349804725469</v>
      </c>
      <c r="U44" s="165">
        <f t="shared" si="2"/>
        <v>2560</v>
      </c>
      <c r="V44" s="523">
        <f t="shared" si="3"/>
        <v>3200</v>
      </c>
      <c r="W44" s="321">
        <f t="shared" si="11"/>
        <v>1650</v>
      </c>
    </row>
    <row r="45" spans="1:23" ht="15.75">
      <c r="A45" s="106" t="s">
        <v>706</v>
      </c>
      <c r="B45" s="142" t="s">
        <v>498</v>
      </c>
      <c r="C45" s="65">
        <v>1000</v>
      </c>
      <c r="D45" s="65">
        <v>1000</v>
      </c>
      <c r="E45" s="65">
        <v>3600</v>
      </c>
      <c r="F45" s="65">
        <v>1000</v>
      </c>
      <c r="G45" s="65">
        <v>3400</v>
      </c>
      <c r="H45" s="306">
        <v>32698</v>
      </c>
      <c r="I45" s="303">
        <f t="shared" si="5"/>
        <v>10000</v>
      </c>
      <c r="J45" s="92">
        <v>80</v>
      </c>
      <c r="K45" s="520">
        <v>150</v>
      </c>
      <c r="L45" s="525">
        <v>100</v>
      </c>
      <c r="N45" s="186">
        <v>32</v>
      </c>
      <c r="O45" s="94">
        <f t="shared" si="17"/>
        <v>41292.64575196895</v>
      </c>
      <c r="P45" s="94">
        <f t="shared" si="17"/>
        <v>41292.64575196895</v>
      </c>
      <c r="Q45" s="94">
        <f t="shared" si="17"/>
        <v>148653.52470708822</v>
      </c>
      <c r="R45" s="94">
        <f t="shared" si="17"/>
        <v>41292.64575196895</v>
      </c>
      <c r="S45" s="94">
        <f t="shared" si="17"/>
        <v>140394.99555669443</v>
      </c>
      <c r="U45" s="165">
        <f t="shared" si="2"/>
        <v>2560</v>
      </c>
      <c r="V45" s="523">
        <f t="shared" si="3"/>
        <v>4800</v>
      </c>
      <c r="W45" s="321">
        <f t="shared" si="11"/>
        <v>3300</v>
      </c>
    </row>
    <row r="46" spans="1:23" ht="15.75">
      <c r="A46" s="106" t="s">
        <v>456</v>
      </c>
      <c r="B46" s="142" t="s">
        <v>498</v>
      </c>
      <c r="C46" s="65">
        <v>3700</v>
      </c>
      <c r="D46" s="65">
        <v>200</v>
      </c>
      <c r="E46" s="65">
        <v>1800</v>
      </c>
      <c r="F46" s="65">
        <v>300</v>
      </c>
      <c r="G46" s="65">
        <v>4000</v>
      </c>
      <c r="H46" s="306">
        <v>26935</v>
      </c>
      <c r="I46" s="303">
        <f t="shared" si="5"/>
        <v>10000</v>
      </c>
      <c r="J46" s="92">
        <v>126</v>
      </c>
      <c r="K46" s="520">
        <v>100</v>
      </c>
      <c r="L46" s="525">
        <v>50</v>
      </c>
      <c r="N46" s="186">
        <v>32</v>
      </c>
      <c r="O46" s="94">
        <f t="shared" si="17"/>
        <v>152782.78928228511</v>
      </c>
      <c r="P46" s="94">
        <f t="shared" si="17"/>
        <v>8258.5291503937897</v>
      </c>
      <c r="Q46" s="94">
        <f t="shared" si="17"/>
        <v>74326.762353544109</v>
      </c>
      <c r="R46" s="94">
        <f t="shared" si="17"/>
        <v>12387.793725590684</v>
      </c>
      <c r="S46" s="94">
        <f t="shared" si="17"/>
        <v>165170.5830078758</v>
      </c>
      <c r="U46" s="165">
        <f t="shared" si="2"/>
        <v>4032</v>
      </c>
      <c r="V46" s="523">
        <f t="shared" si="3"/>
        <v>3200</v>
      </c>
      <c r="W46" s="321">
        <f t="shared" si="11"/>
        <v>1650</v>
      </c>
    </row>
    <row r="47" spans="1:23" ht="15.75">
      <c r="A47" s="106" t="s">
        <v>707</v>
      </c>
      <c r="B47" s="142" t="s">
        <v>498</v>
      </c>
      <c r="C47" s="65">
        <v>1400</v>
      </c>
      <c r="D47" s="65">
        <v>3500</v>
      </c>
      <c r="E47" s="65">
        <v>100</v>
      </c>
      <c r="F47" s="65">
        <v>1500</v>
      </c>
      <c r="G47" s="65">
        <v>3500</v>
      </c>
      <c r="H47" s="307">
        <v>30210</v>
      </c>
      <c r="I47" s="313">
        <f t="shared" si="5"/>
        <v>10000</v>
      </c>
      <c r="J47" s="92">
        <v>80</v>
      </c>
      <c r="K47" s="520">
        <v>150</v>
      </c>
      <c r="L47" s="525">
        <v>100</v>
      </c>
      <c r="N47" s="186">
        <v>34</v>
      </c>
      <c r="O47" s="94">
        <f t="shared" si="17"/>
        <v>102259.58549892102</v>
      </c>
      <c r="P47" s="94">
        <f t="shared" si="17"/>
        <v>255648.96374730257</v>
      </c>
      <c r="Q47" s="94">
        <f t="shared" si="17"/>
        <v>7304.2561070657875</v>
      </c>
      <c r="R47" s="94">
        <f t="shared" si="17"/>
        <v>109563.84160598682</v>
      </c>
      <c r="S47" s="94">
        <f t="shared" si="17"/>
        <v>255648.96374730257</v>
      </c>
      <c r="U47" s="165">
        <f t="shared" si="2"/>
        <v>2720</v>
      </c>
      <c r="V47" s="523">
        <f t="shared" si="3"/>
        <v>5100</v>
      </c>
      <c r="W47" s="321">
        <f t="shared" si="11"/>
        <v>3500</v>
      </c>
    </row>
    <row r="48" spans="1:23" ht="15.75">
      <c r="A48" s="106"/>
      <c r="B48" s="142"/>
      <c r="C48" s="65"/>
      <c r="D48" s="65"/>
      <c r="E48" s="65"/>
      <c r="F48" s="65"/>
      <c r="G48" s="65"/>
      <c r="H48" s="107"/>
      <c r="N48" s="78"/>
      <c r="O48" s="94"/>
      <c r="P48" s="94"/>
      <c r="Q48" s="94"/>
      <c r="R48" s="94"/>
      <c r="S48" s="94"/>
      <c r="U48" s="323">
        <f>SUM(U17:U47)</f>
        <v>72124</v>
      </c>
      <c r="V48" s="524">
        <f>SUM(V17:V47)</f>
        <v>129450</v>
      </c>
      <c r="W48" s="322">
        <f>SUM(W17:W47)</f>
        <v>61200</v>
      </c>
    </row>
    <row r="49" spans="1:23" ht="15.75">
      <c r="A49" s="106"/>
      <c r="B49" s="142"/>
      <c r="C49" s="92"/>
      <c r="D49" s="92"/>
      <c r="E49" s="92"/>
      <c r="F49" s="92"/>
      <c r="G49" s="92"/>
      <c r="N49" s="77"/>
      <c r="O49" s="94"/>
      <c r="P49" s="94"/>
      <c r="Q49" s="94"/>
      <c r="R49" s="94"/>
      <c r="S49" s="94"/>
      <c r="U49" s="165"/>
      <c r="V49" s="523"/>
      <c r="W49" s="321"/>
    </row>
    <row r="50" spans="1:23">
      <c r="A50" s="147" t="s">
        <v>499</v>
      </c>
      <c r="B50">
        <v>0</v>
      </c>
      <c r="C50" s="65">
        <v>485</v>
      </c>
      <c r="D50" s="65">
        <v>695</v>
      </c>
      <c r="E50" s="65">
        <v>890</v>
      </c>
      <c r="F50" s="65">
        <v>475</v>
      </c>
      <c r="G50" s="65">
        <v>665</v>
      </c>
      <c r="H50" s="305">
        <v>3210</v>
      </c>
      <c r="I50" s="304">
        <f t="shared" ref="I50:I81" si="18">C50+D50+E50+F50+G50</f>
        <v>3210</v>
      </c>
      <c r="J50" s="92">
        <v>0</v>
      </c>
      <c r="K50" s="520">
        <v>0</v>
      </c>
      <c r="L50" s="525">
        <v>0</v>
      </c>
      <c r="N50" s="6">
        <v>0</v>
      </c>
      <c r="O50" s="94">
        <f t="shared" ref="O50:S51" si="19">C50*1.33^($N50)/(1.6^($B$3/2))</f>
        <v>2.1795254172924139</v>
      </c>
      <c r="P50" s="94">
        <f t="shared" si="19"/>
        <v>3.1232374536458298</v>
      </c>
      <c r="Q50" s="94">
        <f t="shared" si="19"/>
        <v>3.9995414874025736</v>
      </c>
      <c r="R50" s="94">
        <f t="shared" si="19"/>
        <v>2.1345867488946322</v>
      </c>
      <c r="S50" s="94">
        <f t="shared" si="19"/>
        <v>2.9884214484524847</v>
      </c>
      <c r="U50" s="165">
        <f>(N50+1)*J50</f>
        <v>0</v>
      </c>
      <c r="V50" s="523">
        <f>(N50+1)*K50</f>
        <v>0</v>
      </c>
      <c r="W50" s="321">
        <f>(N50+1)*L50</f>
        <v>0</v>
      </c>
    </row>
    <row r="51" spans="1:23">
      <c r="A51" s="148" t="s">
        <v>500</v>
      </c>
      <c r="B51">
        <v>0</v>
      </c>
      <c r="C51" s="65">
        <v>4265</v>
      </c>
      <c r="D51" s="65">
        <v>5385</v>
      </c>
      <c r="E51" s="65">
        <v>3440</v>
      </c>
      <c r="F51" s="65">
        <v>1890</v>
      </c>
      <c r="G51" s="65">
        <v>3450</v>
      </c>
      <c r="H51" s="306">
        <v>18430</v>
      </c>
      <c r="I51" s="303">
        <f t="shared" si="18"/>
        <v>18430</v>
      </c>
      <c r="J51" s="92">
        <v>32</v>
      </c>
      <c r="K51" s="520">
        <v>25</v>
      </c>
      <c r="L51" s="525">
        <v>50</v>
      </c>
      <c r="N51" s="6">
        <v>0</v>
      </c>
      <c r="O51" s="94">
        <f t="shared" si="19"/>
        <v>19.166342071653908</v>
      </c>
      <c r="P51" s="94">
        <f t="shared" si="19"/>
        <v>24.19947293220546</v>
      </c>
      <c r="Q51" s="94">
        <f t="shared" si="19"/>
        <v>15.458901928836914</v>
      </c>
      <c r="R51" s="94">
        <f t="shared" si="19"/>
        <v>8.493408327180747</v>
      </c>
      <c r="S51" s="94">
        <f t="shared" si="19"/>
        <v>15.503840597234696</v>
      </c>
      <c r="U51" s="165">
        <f>(N51+1)*J51</f>
        <v>32</v>
      </c>
      <c r="V51" s="523">
        <f>(N51+1)*K51</f>
        <v>25</v>
      </c>
      <c r="W51" s="321">
        <f>(N51+1)*L51</f>
        <v>50</v>
      </c>
    </row>
    <row r="52" spans="1:23">
      <c r="A52" s="148" t="s">
        <v>728</v>
      </c>
      <c r="B52">
        <v>0</v>
      </c>
      <c r="C52" s="65">
        <v>50000</v>
      </c>
      <c r="D52" s="65">
        <v>50000</v>
      </c>
      <c r="E52" s="65">
        <v>50000</v>
      </c>
      <c r="F52" s="65">
        <v>50000</v>
      </c>
      <c r="G52" s="65">
        <v>50000</v>
      </c>
      <c r="H52" s="306"/>
      <c r="I52" s="303">
        <f t="shared" si="18"/>
        <v>250000</v>
      </c>
      <c r="K52" s="520">
        <v>25</v>
      </c>
      <c r="L52" s="525">
        <v>100</v>
      </c>
      <c r="N52" s="6">
        <v>0</v>
      </c>
      <c r="O52" s="94">
        <f t="shared" ref="O52:O61" si="20">C52*1.33^($N52)/(1.6^($B$3/2))</f>
        <v>224.69334198890863</v>
      </c>
      <c r="P52" s="94">
        <f t="shared" ref="P52:P61" si="21">D52*1.33^($N52)/(1.6^($B$3/2))</f>
        <v>224.69334198890863</v>
      </c>
      <c r="Q52" s="94">
        <f t="shared" ref="Q52:Q61" si="22">E52*1.33^($N52)/(1.6^($B$3/2))</f>
        <v>224.69334198890863</v>
      </c>
      <c r="R52" s="94">
        <f t="shared" ref="R52:R61" si="23">F52*1.33^($N52)/(1.6^($B$3/2))</f>
        <v>224.69334198890863</v>
      </c>
      <c r="S52" s="94">
        <f t="shared" ref="S52:S61" si="24">G52*1.33^($N52)/(1.6^($B$3/2))</f>
        <v>224.69334198890863</v>
      </c>
      <c r="U52" s="165">
        <f>(N52+1)*J52</f>
        <v>0</v>
      </c>
      <c r="V52" s="523">
        <f>(N52+1)*K52</f>
        <v>25</v>
      </c>
      <c r="W52" s="321">
        <f>(N52+1)*L52</f>
        <v>100</v>
      </c>
    </row>
    <row r="53" spans="1:23" ht="15.75">
      <c r="A53" s="146" t="s">
        <v>730</v>
      </c>
      <c r="B53" s="142" t="s">
        <v>498</v>
      </c>
      <c r="C53" s="65">
        <v>200000</v>
      </c>
      <c r="D53" s="65">
        <v>40000</v>
      </c>
      <c r="E53" s="65">
        <v>200000</v>
      </c>
      <c r="F53" s="65">
        <v>40000</v>
      </c>
      <c r="G53" s="65">
        <v>20000</v>
      </c>
      <c r="H53" s="306"/>
      <c r="I53" s="303">
        <f t="shared" si="18"/>
        <v>500000</v>
      </c>
      <c r="K53" s="520">
        <v>30</v>
      </c>
      <c r="L53" s="525">
        <v>100</v>
      </c>
      <c r="N53" s="186">
        <v>1</v>
      </c>
      <c r="O53" s="94">
        <f t="shared" si="20"/>
        <v>1195.3685793809939</v>
      </c>
      <c r="P53" s="94">
        <f t="shared" si="21"/>
        <v>239.07371587619878</v>
      </c>
      <c r="Q53" s="94">
        <f t="shared" si="22"/>
        <v>1195.3685793809939</v>
      </c>
      <c r="R53" s="94">
        <f t="shared" si="23"/>
        <v>239.07371587619878</v>
      </c>
      <c r="S53" s="94">
        <f t="shared" si="24"/>
        <v>119.53685793809939</v>
      </c>
      <c r="U53" s="165">
        <f t="shared" si="2"/>
        <v>0</v>
      </c>
      <c r="V53" s="523">
        <f t="shared" si="3"/>
        <v>30</v>
      </c>
      <c r="W53" s="321">
        <f>N53*L53</f>
        <v>100</v>
      </c>
    </row>
    <row r="54" spans="1:23" ht="15.75">
      <c r="A54" s="146" t="s">
        <v>729</v>
      </c>
      <c r="B54" s="142" t="s">
        <v>498</v>
      </c>
      <c r="C54" s="65">
        <v>100000</v>
      </c>
      <c r="D54" s="65">
        <v>300000</v>
      </c>
      <c r="E54" s="65">
        <v>0</v>
      </c>
      <c r="F54" s="65">
        <v>20000</v>
      </c>
      <c r="G54" s="65">
        <v>80000</v>
      </c>
      <c r="H54" s="306"/>
      <c r="I54" s="303">
        <f t="shared" si="18"/>
        <v>500000</v>
      </c>
      <c r="K54" s="520">
        <v>30</v>
      </c>
      <c r="L54" s="525">
        <v>100</v>
      </c>
      <c r="N54" s="186">
        <v>1</v>
      </c>
      <c r="O54" s="94">
        <f t="shared" si="20"/>
        <v>597.68428969049694</v>
      </c>
      <c r="P54" s="94">
        <f t="shared" si="21"/>
        <v>1793.0528690714909</v>
      </c>
      <c r="Q54" s="94">
        <f t="shared" si="22"/>
        <v>0</v>
      </c>
      <c r="R54" s="94">
        <f t="shared" si="23"/>
        <v>119.53685793809939</v>
      </c>
      <c r="S54" s="94">
        <f t="shared" si="24"/>
        <v>478.14743175239755</v>
      </c>
      <c r="U54" s="165">
        <f t="shared" si="2"/>
        <v>0</v>
      </c>
      <c r="V54" s="523">
        <f t="shared" si="3"/>
        <v>30</v>
      </c>
      <c r="W54" s="321">
        <f>N54*L54</f>
        <v>100</v>
      </c>
    </row>
    <row r="55" spans="1:23">
      <c r="A55" s="148" t="s">
        <v>802</v>
      </c>
      <c r="B55">
        <v>0</v>
      </c>
      <c r="C55" s="65">
        <v>500000</v>
      </c>
      <c r="D55" s="65">
        <v>500000</v>
      </c>
      <c r="E55" s="65">
        <v>500000</v>
      </c>
      <c r="F55" s="65">
        <v>500000</v>
      </c>
      <c r="G55" s="65">
        <v>500000</v>
      </c>
      <c r="H55" s="306"/>
      <c r="I55" s="303">
        <f t="shared" si="18"/>
        <v>2500000</v>
      </c>
      <c r="L55" s="525">
        <v>150</v>
      </c>
      <c r="N55" s="6">
        <v>0</v>
      </c>
      <c r="O55" s="94">
        <f t="shared" si="20"/>
        <v>2246.9334198890865</v>
      </c>
      <c r="P55" s="94">
        <f t="shared" si="21"/>
        <v>2246.9334198890865</v>
      </c>
      <c r="Q55" s="94">
        <f t="shared" si="22"/>
        <v>2246.9334198890865</v>
      </c>
      <c r="R55" s="94">
        <f t="shared" si="23"/>
        <v>2246.9334198890865</v>
      </c>
      <c r="S55" s="94">
        <f t="shared" si="24"/>
        <v>2246.9334198890865</v>
      </c>
      <c r="U55" s="165">
        <f>(N55+1)*J55</f>
        <v>0</v>
      </c>
      <c r="V55" s="523">
        <f>(N55+1)*K55</f>
        <v>0</v>
      </c>
      <c r="W55" s="321">
        <f>(N55+1)*L55</f>
        <v>150</v>
      </c>
    </row>
    <row r="56" spans="1:23" ht="15.75">
      <c r="A56" s="146" t="s">
        <v>803</v>
      </c>
      <c r="B56" s="142" t="s">
        <v>498</v>
      </c>
      <c r="C56" s="65">
        <v>999999</v>
      </c>
      <c r="D56" s="65">
        <v>999999</v>
      </c>
      <c r="E56" s="65">
        <v>999999</v>
      </c>
      <c r="F56" s="65">
        <v>999999</v>
      </c>
      <c r="G56" s="65">
        <v>999999</v>
      </c>
      <c r="H56" s="306"/>
      <c r="I56" s="303">
        <f t="shared" si="18"/>
        <v>4999995</v>
      </c>
      <c r="L56" s="525">
        <v>150</v>
      </c>
      <c r="N56" s="186">
        <v>20</v>
      </c>
      <c r="O56" s="94">
        <f t="shared" si="20"/>
        <v>1347884.2061884513</v>
      </c>
      <c r="P56" s="94">
        <f t="shared" si="21"/>
        <v>1347884.2061884513</v>
      </c>
      <c r="Q56" s="94">
        <f t="shared" si="22"/>
        <v>1347884.2061884513</v>
      </c>
      <c r="R56" s="94">
        <f t="shared" si="23"/>
        <v>1347884.2061884513</v>
      </c>
      <c r="S56" s="94">
        <f t="shared" si="24"/>
        <v>1347884.2061884513</v>
      </c>
      <c r="U56" s="165">
        <f t="shared" si="2"/>
        <v>0</v>
      </c>
      <c r="V56" s="523">
        <f t="shared" si="3"/>
        <v>0</v>
      </c>
      <c r="W56" s="321">
        <f>N56*L56</f>
        <v>3000</v>
      </c>
    </row>
    <row r="57" spans="1:23" ht="15.75">
      <c r="A57" s="146" t="s">
        <v>804</v>
      </c>
      <c r="B57" s="142" t="s">
        <v>498</v>
      </c>
      <c r="C57" s="65">
        <v>999999</v>
      </c>
      <c r="D57" s="65">
        <v>999999</v>
      </c>
      <c r="E57" s="65">
        <v>999999</v>
      </c>
      <c r="F57" s="65">
        <v>999999</v>
      </c>
      <c r="G57" s="65">
        <v>999999</v>
      </c>
      <c r="H57" s="306"/>
      <c r="I57" s="303">
        <f t="shared" si="18"/>
        <v>4999995</v>
      </c>
      <c r="L57" s="525">
        <v>150</v>
      </c>
      <c r="N57" s="186">
        <v>20</v>
      </c>
      <c r="O57" s="94">
        <f t="shared" si="20"/>
        <v>1347884.2061884513</v>
      </c>
      <c r="P57" s="94">
        <f t="shared" si="21"/>
        <v>1347884.2061884513</v>
      </c>
      <c r="Q57" s="94">
        <f t="shared" si="22"/>
        <v>1347884.2061884513</v>
      </c>
      <c r="R57" s="94">
        <f t="shared" si="23"/>
        <v>1347884.2061884513</v>
      </c>
      <c r="S57" s="94">
        <f t="shared" si="24"/>
        <v>1347884.2061884513</v>
      </c>
      <c r="U57" s="165">
        <f t="shared" si="2"/>
        <v>0</v>
      </c>
      <c r="V57" s="523">
        <f t="shared" si="3"/>
        <v>0</v>
      </c>
      <c r="W57" s="321">
        <f>N57*L57</f>
        <v>3000</v>
      </c>
    </row>
    <row r="58" spans="1:23">
      <c r="A58" s="148" t="s">
        <v>697</v>
      </c>
      <c r="B58">
        <v>0</v>
      </c>
      <c r="C58" s="65">
        <v>20000</v>
      </c>
      <c r="D58" s="65">
        <v>20000</v>
      </c>
      <c r="E58" s="65">
        <v>20000</v>
      </c>
      <c r="F58" s="65">
        <v>20000</v>
      </c>
      <c r="G58" s="65">
        <v>20000</v>
      </c>
      <c r="H58" s="306"/>
      <c r="I58" s="303">
        <f>C58+D58+E58+F58+G58</f>
        <v>100000</v>
      </c>
      <c r="K58" s="520">
        <v>25</v>
      </c>
      <c r="L58" s="525">
        <v>50</v>
      </c>
      <c r="N58" s="6">
        <v>0</v>
      </c>
      <c r="O58" s="94">
        <f t="shared" ref="O58:S60" si="25">C58*1.33^($N58)/(1.6^($B$3/2))</f>
        <v>89.877336795563451</v>
      </c>
      <c r="P58" s="94">
        <f t="shared" si="25"/>
        <v>89.877336795563451</v>
      </c>
      <c r="Q58" s="94">
        <f t="shared" si="25"/>
        <v>89.877336795563451</v>
      </c>
      <c r="R58" s="94">
        <f t="shared" si="25"/>
        <v>89.877336795563451</v>
      </c>
      <c r="S58" s="94">
        <f t="shared" si="25"/>
        <v>89.877336795563451</v>
      </c>
      <c r="U58" s="165">
        <f>(N58+1)*J58</f>
        <v>0</v>
      </c>
      <c r="V58" s="523">
        <f>(N58+1)*K58</f>
        <v>25</v>
      </c>
      <c r="W58" s="321">
        <f>(N58+1)*L58</f>
        <v>50</v>
      </c>
    </row>
    <row r="59" spans="1:23" ht="15.75">
      <c r="A59" s="146" t="s">
        <v>708</v>
      </c>
      <c r="B59" s="142" t="s">
        <v>498</v>
      </c>
      <c r="C59" s="65">
        <v>20000</v>
      </c>
      <c r="D59" s="65">
        <v>20000</v>
      </c>
      <c r="E59" s="65">
        <v>20000</v>
      </c>
      <c r="F59" s="65">
        <v>20000</v>
      </c>
      <c r="G59" s="65">
        <v>20000</v>
      </c>
      <c r="H59" s="306"/>
      <c r="I59" s="303">
        <f>C59+D59+E59+F59+G59</f>
        <v>100000</v>
      </c>
      <c r="K59" s="520">
        <v>20</v>
      </c>
      <c r="L59" s="525">
        <v>50</v>
      </c>
      <c r="N59" s="186">
        <v>0</v>
      </c>
      <c r="O59" s="94">
        <f t="shared" si="25"/>
        <v>89.877336795563451</v>
      </c>
      <c r="P59" s="94">
        <f t="shared" si="25"/>
        <v>89.877336795563451</v>
      </c>
      <c r="Q59" s="94">
        <f t="shared" si="25"/>
        <v>89.877336795563451</v>
      </c>
      <c r="R59" s="94">
        <f t="shared" si="25"/>
        <v>89.877336795563451</v>
      </c>
      <c r="S59" s="94">
        <f t="shared" si="25"/>
        <v>89.877336795563451</v>
      </c>
      <c r="U59" s="165">
        <f>N59*J59</f>
        <v>0</v>
      </c>
      <c r="V59" s="523">
        <f>N59*K59</f>
        <v>0</v>
      </c>
      <c r="W59" s="321">
        <f>N59*L59</f>
        <v>0</v>
      </c>
    </row>
    <row r="60" spans="1:23" ht="15.75">
      <c r="A60" s="146" t="s">
        <v>709</v>
      </c>
      <c r="B60" s="142" t="s">
        <v>498</v>
      </c>
      <c r="C60" s="65">
        <v>15000</v>
      </c>
      <c r="D60" s="65">
        <v>15000</v>
      </c>
      <c r="E60" s="65">
        <v>42000</v>
      </c>
      <c r="F60" s="65">
        <v>24000</v>
      </c>
      <c r="G60" s="65">
        <v>4000</v>
      </c>
      <c r="H60" s="306"/>
      <c r="I60" s="303">
        <f>C60+D60+E60+F60+G60</f>
        <v>100000</v>
      </c>
      <c r="K60" s="520">
        <v>20</v>
      </c>
      <c r="L60" s="525">
        <v>50</v>
      </c>
      <c r="N60" s="186">
        <v>0</v>
      </c>
      <c r="O60" s="94">
        <f t="shared" si="25"/>
        <v>67.408002596672588</v>
      </c>
      <c r="P60" s="94">
        <f t="shared" si="25"/>
        <v>67.408002596672588</v>
      </c>
      <c r="Q60" s="94">
        <f t="shared" si="25"/>
        <v>188.74240727068326</v>
      </c>
      <c r="R60" s="94">
        <f t="shared" si="25"/>
        <v>107.85280415467614</v>
      </c>
      <c r="S60" s="94">
        <f t="shared" si="25"/>
        <v>17.975467359112692</v>
      </c>
      <c r="U60" s="165">
        <f>N60*J60</f>
        <v>0</v>
      </c>
      <c r="V60" s="523">
        <f>N60*K60</f>
        <v>0</v>
      </c>
      <c r="W60" s="321">
        <f>N60*L60</f>
        <v>0</v>
      </c>
    </row>
    <row r="61" spans="1:23">
      <c r="A61" s="148" t="s">
        <v>696</v>
      </c>
      <c r="B61">
        <v>0</v>
      </c>
      <c r="C61" s="65">
        <v>2000</v>
      </c>
      <c r="D61" s="65">
        <v>2000</v>
      </c>
      <c r="E61" s="65">
        <v>2000</v>
      </c>
      <c r="F61" s="65">
        <v>2000</v>
      </c>
      <c r="G61" s="65">
        <v>2000</v>
      </c>
      <c r="H61" s="306"/>
      <c r="I61" s="303">
        <f t="shared" si="18"/>
        <v>10000</v>
      </c>
      <c r="K61" s="520">
        <v>25</v>
      </c>
      <c r="L61" s="525">
        <v>25</v>
      </c>
      <c r="N61" s="6">
        <v>0</v>
      </c>
      <c r="O61" s="94">
        <f t="shared" si="20"/>
        <v>8.9877336795563458</v>
      </c>
      <c r="P61" s="94">
        <f t="shared" si="21"/>
        <v>8.9877336795563458</v>
      </c>
      <c r="Q61" s="94">
        <f t="shared" si="22"/>
        <v>8.9877336795563458</v>
      </c>
      <c r="R61" s="94">
        <f t="shared" si="23"/>
        <v>8.9877336795563458</v>
      </c>
      <c r="S61" s="94">
        <f t="shared" si="24"/>
        <v>8.9877336795563458</v>
      </c>
      <c r="U61" s="165">
        <f>(N61+1)*J61</f>
        <v>0</v>
      </c>
      <c r="V61" s="523">
        <f>(N61+1)*K61</f>
        <v>25</v>
      </c>
      <c r="W61" s="321">
        <f>(N61+1)*L61</f>
        <v>25</v>
      </c>
    </row>
    <row r="62" spans="1:23">
      <c r="A62" s="146" t="s">
        <v>501</v>
      </c>
      <c r="B62">
        <v>0</v>
      </c>
      <c r="C62" s="65">
        <v>80000</v>
      </c>
      <c r="D62" s="65">
        <v>30000</v>
      </c>
      <c r="E62" s="65">
        <v>100000</v>
      </c>
      <c r="F62" s="65">
        <v>35000</v>
      </c>
      <c r="G62" s="65">
        <v>30000</v>
      </c>
      <c r="H62" s="306">
        <v>275000</v>
      </c>
      <c r="I62" s="303">
        <f t="shared" si="18"/>
        <v>275000</v>
      </c>
      <c r="J62" s="92">
        <v>478</v>
      </c>
      <c r="K62" s="520">
        <v>10</v>
      </c>
      <c r="L62" s="525">
        <v>25</v>
      </c>
      <c r="N62" s="6">
        <v>0</v>
      </c>
      <c r="O62" s="94">
        <f t="shared" ref="O62:O81" si="26">C62*1.33^($N62)/(1.6^($B$3/2))</f>
        <v>359.5093471822538</v>
      </c>
      <c r="P62" s="94">
        <f t="shared" ref="P62:P81" si="27">D62*1.33^($N62)/(1.6^($B$3/2))</f>
        <v>134.81600519334518</v>
      </c>
      <c r="Q62" s="94">
        <f t="shared" ref="Q62:Q81" si="28">E62*1.33^($N62)/(1.6^($B$3/2))</f>
        <v>449.38668397781726</v>
      </c>
      <c r="R62" s="94">
        <f t="shared" ref="R62:R81" si="29">F62*1.33^($N62)/(1.6^($B$3/2))</f>
        <v>157.28533939223604</v>
      </c>
      <c r="S62" s="94">
        <f t="shared" ref="S62:S81" si="30">G62*1.33^($N62)/(1.6^($B$3/2))</f>
        <v>134.81600519334518</v>
      </c>
      <c r="U62" s="165">
        <f>(N62+1)*J62</f>
        <v>478</v>
      </c>
      <c r="V62" s="523">
        <f>(N62+1)*K62</f>
        <v>10</v>
      </c>
      <c r="W62" s="321">
        <f>(N62+1)*L62</f>
        <v>25</v>
      </c>
    </row>
    <row r="63" spans="1:23" ht="15.75">
      <c r="A63" s="146" t="s">
        <v>502</v>
      </c>
      <c r="B63" s="142" t="s">
        <v>498</v>
      </c>
      <c r="C63" s="65">
        <v>3000</v>
      </c>
      <c r="D63" s="65">
        <v>1000</v>
      </c>
      <c r="E63" s="65">
        <v>5000</v>
      </c>
      <c r="F63" s="65">
        <v>800</v>
      </c>
      <c r="G63" s="65">
        <v>200</v>
      </c>
      <c r="H63" s="306">
        <v>10880</v>
      </c>
      <c r="I63" s="303">
        <f t="shared" si="18"/>
        <v>10000</v>
      </c>
      <c r="J63" s="92">
        <v>15</v>
      </c>
      <c r="K63" s="520">
        <v>10</v>
      </c>
      <c r="L63" s="525">
        <v>25</v>
      </c>
      <c r="N63" s="186">
        <v>34</v>
      </c>
      <c r="O63" s="94">
        <f t="shared" si="26"/>
        <v>219127.68321197364</v>
      </c>
      <c r="P63" s="94">
        <f t="shared" si="27"/>
        <v>73042.561070657874</v>
      </c>
      <c r="Q63" s="94">
        <f t="shared" si="28"/>
        <v>365212.80535328935</v>
      </c>
      <c r="R63" s="94">
        <f t="shared" si="29"/>
        <v>58434.0488565263</v>
      </c>
      <c r="S63" s="94">
        <f t="shared" si="30"/>
        <v>14608.512214131575</v>
      </c>
      <c r="U63" s="165">
        <f t="shared" si="2"/>
        <v>510</v>
      </c>
      <c r="V63" s="523">
        <f t="shared" si="3"/>
        <v>340</v>
      </c>
      <c r="W63" s="321">
        <f>N63*L63</f>
        <v>850</v>
      </c>
    </row>
    <row r="64" spans="1:23" ht="15.75">
      <c r="A64" s="146" t="s">
        <v>503</v>
      </c>
      <c r="B64" s="142" t="s">
        <v>498</v>
      </c>
      <c r="C64" s="65">
        <v>5600</v>
      </c>
      <c r="D64" s="65">
        <v>4000</v>
      </c>
      <c r="E64" s="65">
        <v>2800</v>
      </c>
      <c r="F64" s="65">
        <v>4000</v>
      </c>
      <c r="G64" s="65">
        <v>3600</v>
      </c>
      <c r="H64" s="306">
        <v>24700</v>
      </c>
      <c r="I64" s="303">
        <f t="shared" si="18"/>
        <v>20000</v>
      </c>
      <c r="J64" s="92">
        <v>41</v>
      </c>
      <c r="K64" s="520">
        <v>10</v>
      </c>
      <c r="L64" s="525">
        <v>25</v>
      </c>
      <c r="N64" s="186">
        <v>32</v>
      </c>
      <c r="O64" s="94">
        <f t="shared" si="26"/>
        <v>231238.8162110261</v>
      </c>
      <c r="P64" s="94">
        <f t="shared" si="27"/>
        <v>165170.5830078758</v>
      </c>
      <c r="Q64" s="94">
        <f t="shared" si="28"/>
        <v>115619.40810551305</v>
      </c>
      <c r="R64" s="94">
        <f t="shared" si="29"/>
        <v>165170.5830078758</v>
      </c>
      <c r="S64" s="94">
        <f t="shared" si="30"/>
        <v>148653.52470708822</v>
      </c>
      <c r="U64" s="165">
        <f t="shared" si="2"/>
        <v>1312</v>
      </c>
      <c r="V64" s="523">
        <f t="shared" si="3"/>
        <v>320</v>
      </c>
      <c r="W64" s="321">
        <f>N64*L64</f>
        <v>800</v>
      </c>
    </row>
    <row r="65" spans="1:23" ht="15.75">
      <c r="A65" s="146" t="s">
        <v>504</v>
      </c>
      <c r="B65" s="142" t="s">
        <v>498</v>
      </c>
      <c r="C65" s="65">
        <v>6000</v>
      </c>
      <c r="D65" s="65">
        <v>2000</v>
      </c>
      <c r="E65" s="65">
        <v>6800</v>
      </c>
      <c r="F65" s="65">
        <v>3100</v>
      </c>
      <c r="G65" s="65">
        <v>2100</v>
      </c>
      <c r="H65" s="306">
        <v>24650</v>
      </c>
      <c r="I65" s="303">
        <f t="shared" si="18"/>
        <v>20000</v>
      </c>
      <c r="J65" s="92">
        <v>38</v>
      </c>
      <c r="K65" s="520">
        <v>10</v>
      </c>
      <c r="L65" s="525">
        <v>25</v>
      </c>
      <c r="N65" s="186">
        <v>32</v>
      </c>
      <c r="O65" s="94">
        <f t="shared" si="26"/>
        <v>247755.87451181369</v>
      </c>
      <c r="P65" s="94">
        <f t="shared" si="27"/>
        <v>82585.2915039379</v>
      </c>
      <c r="Q65" s="94">
        <f t="shared" si="28"/>
        <v>280789.99111338885</v>
      </c>
      <c r="R65" s="94">
        <f t="shared" si="29"/>
        <v>128007.20183110374</v>
      </c>
      <c r="S65" s="94">
        <f t="shared" si="30"/>
        <v>86714.556079134796</v>
      </c>
      <c r="U65" s="165">
        <f t="shared" si="2"/>
        <v>1216</v>
      </c>
      <c r="V65" s="523">
        <f t="shared" si="3"/>
        <v>320</v>
      </c>
      <c r="W65" s="321">
        <f>N65*L65</f>
        <v>800</v>
      </c>
    </row>
    <row r="66" spans="1:23" ht="15.75">
      <c r="A66" s="146" t="s">
        <v>505</v>
      </c>
      <c r="B66" s="142" t="s">
        <v>498</v>
      </c>
      <c r="C66" s="65">
        <v>2200</v>
      </c>
      <c r="D66" s="65">
        <v>4700</v>
      </c>
      <c r="E66" s="65">
        <v>3000</v>
      </c>
      <c r="F66" s="65">
        <v>5000</v>
      </c>
      <c r="G66" s="65">
        <v>5100</v>
      </c>
      <c r="H66" s="306">
        <v>27800</v>
      </c>
      <c r="I66" s="303">
        <f t="shared" si="18"/>
        <v>20000</v>
      </c>
      <c r="J66" s="92">
        <v>37</v>
      </c>
      <c r="K66" s="520">
        <v>10</v>
      </c>
      <c r="L66" s="525">
        <v>25</v>
      </c>
      <c r="N66" s="186">
        <v>32</v>
      </c>
      <c r="O66" s="94">
        <f t="shared" si="26"/>
        <v>90843.820654331692</v>
      </c>
      <c r="P66" s="94">
        <f t="shared" si="27"/>
        <v>194075.43503425404</v>
      </c>
      <c r="Q66" s="94">
        <f t="shared" si="28"/>
        <v>123877.93725590684</v>
      </c>
      <c r="R66" s="94">
        <f t="shared" si="29"/>
        <v>206463.22875984473</v>
      </c>
      <c r="S66" s="94">
        <f t="shared" si="30"/>
        <v>210592.49333504162</v>
      </c>
      <c r="U66" s="165">
        <f t="shared" si="2"/>
        <v>1184</v>
      </c>
      <c r="V66" s="523">
        <f t="shared" si="3"/>
        <v>320</v>
      </c>
      <c r="W66" s="321">
        <f>N66*L66</f>
        <v>800</v>
      </c>
    </row>
    <row r="67" spans="1:23" ht="15.75">
      <c r="A67" s="146" t="s">
        <v>506</v>
      </c>
      <c r="B67" s="142" t="s">
        <v>498</v>
      </c>
      <c r="C67" s="65">
        <v>3900</v>
      </c>
      <c r="D67" s="65">
        <v>4500</v>
      </c>
      <c r="E67" s="65">
        <v>5100</v>
      </c>
      <c r="F67" s="65">
        <v>2700</v>
      </c>
      <c r="G67" s="65">
        <v>3800</v>
      </c>
      <c r="H67" s="306">
        <v>27350</v>
      </c>
      <c r="I67" s="303">
        <f t="shared" si="18"/>
        <v>20000</v>
      </c>
      <c r="J67" s="92">
        <v>46</v>
      </c>
      <c r="K67" s="520">
        <v>10</v>
      </c>
      <c r="L67" s="525">
        <v>25</v>
      </c>
      <c r="N67" s="186">
        <v>32</v>
      </c>
      <c r="O67" s="94">
        <f t="shared" si="26"/>
        <v>161041.31843267888</v>
      </c>
      <c r="P67" s="94">
        <f t="shared" si="27"/>
        <v>185816.90588386025</v>
      </c>
      <c r="Q67" s="94">
        <f t="shared" si="28"/>
        <v>210592.49333504162</v>
      </c>
      <c r="R67" s="94">
        <f t="shared" si="29"/>
        <v>111490.14353031616</v>
      </c>
      <c r="S67" s="94">
        <f t="shared" si="30"/>
        <v>156912.05385748201</v>
      </c>
      <c r="U67" s="165">
        <f t="shared" si="2"/>
        <v>1472</v>
      </c>
      <c r="V67" s="523">
        <f t="shared" si="3"/>
        <v>320</v>
      </c>
      <c r="W67" s="321">
        <f>N67*L67</f>
        <v>800</v>
      </c>
    </row>
    <row r="68" spans="1:23">
      <c r="A68" s="148" t="s">
        <v>507</v>
      </c>
      <c r="B68">
        <v>0</v>
      </c>
      <c r="C68" s="65">
        <v>4860</v>
      </c>
      <c r="D68" s="65">
        <v>4220</v>
      </c>
      <c r="E68" s="65">
        <v>3680</v>
      </c>
      <c r="F68" s="65">
        <v>4000</v>
      </c>
      <c r="G68" s="65">
        <v>2850</v>
      </c>
      <c r="H68" s="306">
        <v>19610</v>
      </c>
      <c r="I68" s="303">
        <f t="shared" si="18"/>
        <v>19610</v>
      </c>
      <c r="J68" s="92">
        <v>32</v>
      </c>
      <c r="K68" s="520">
        <v>50</v>
      </c>
      <c r="L68" s="525">
        <v>50</v>
      </c>
      <c r="N68" s="6">
        <v>0</v>
      </c>
      <c r="O68" s="94">
        <f t="shared" si="26"/>
        <v>21.840192841321919</v>
      </c>
      <c r="P68" s="94">
        <f t="shared" si="27"/>
        <v>18.964118063863889</v>
      </c>
      <c r="Q68" s="94">
        <f t="shared" si="28"/>
        <v>16.537429970383677</v>
      </c>
      <c r="R68" s="94">
        <f t="shared" si="29"/>
        <v>17.975467359112692</v>
      </c>
      <c r="S68" s="94">
        <f t="shared" si="30"/>
        <v>12.807520493367791</v>
      </c>
      <c r="U68" s="165">
        <f>(N68+1)*J68</f>
        <v>32</v>
      </c>
      <c r="V68" s="523">
        <f>(N68+1)*K68</f>
        <v>50</v>
      </c>
      <c r="W68" s="321">
        <f>(N68+1)*L68</f>
        <v>50</v>
      </c>
    </row>
    <row r="69" spans="1:23">
      <c r="A69" s="146" t="s">
        <v>508</v>
      </c>
      <c r="B69">
        <v>0</v>
      </c>
      <c r="C69" s="65">
        <v>4890</v>
      </c>
      <c r="D69" s="65">
        <v>5675</v>
      </c>
      <c r="E69" s="65">
        <v>5550</v>
      </c>
      <c r="F69" s="65">
        <v>2385</v>
      </c>
      <c r="G69" s="65">
        <v>4850</v>
      </c>
      <c r="H69" s="306">
        <v>23350</v>
      </c>
      <c r="I69" s="303">
        <f t="shared" si="18"/>
        <v>23350</v>
      </c>
      <c r="J69" s="92">
        <v>39</v>
      </c>
      <c r="K69" s="520">
        <v>50</v>
      </c>
      <c r="L69" s="525">
        <v>100</v>
      </c>
      <c r="N69" s="6">
        <v>0</v>
      </c>
      <c r="O69" s="94">
        <f t="shared" si="26"/>
        <v>21.975008846515266</v>
      </c>
      <c r="P69" s="94">
        <f t="shared" si="27"/>
        <v>25.502694315741131</v>
      </c>
      <c r="Q69" s="94">
        <f t="shared" si="28"/>
        <v>24.940960960768859</v>
      </c>
      <c r="R69" s="94">
        <f t="shared" si="29"/>
        <v>10.717872412870941</v>
      </c>
      <c r="S69" s="94">
        <f t="shared" si="30"/>
        <v>21.795254172924139</v>
      </c>
      <c r="U69" s="165">
        <f>(N69+1)*J69</f>
        <v>39</v>
      </c>
      <c r="V69" s="523">
        <f>(N69+1)*K69</f>
        <v>50</v>
      </c>
      <c r="W69" s="321">
        <f>(N69+1)*L69</f>
        <v>100</v>
      </c>
    </row>
    <row r="70" spans="1:23">
      <c r="A70" s="146" t="s">
        <v>509</v>
      </c>
      <c r="B70">
        <v>0</v>
      </c>
      <c r="C70" s="65">
        <v>7890</v>
      </c>
      <c r="D70" s="65">
        <v>5650</v>
      </c>
      <c r="E70" s="65">
        <v>6465</v>
      </c>
      <c r="F70" s="65">
        <v>3465</v>
      </c>
      <c r="G70" s="65">
        <v>6335</v>
      </c>
      <c r="H70" s="306">
        <v>29805</v>
      </c>
      <c r="I70" s="303">
        <f t="shared" si="18"/>
        <v>29805</v>
      </c>
      <c r="J70" s="92">
        <v>50</v>
      </c>
      <c r="K70" s="520">
        <v>50</v>
      </c>
      <c r="L70" s="525">
        <v>200</v>
      </c>
      <c r="N70" s="6">
        <v>0</v>
      </c>
      <c r="O70" s="94">
        <f t="shared" si="26"/>
        <v>35.456609365849779</v>
      </c>
      <c r="P70" s="94">
        <f t="shared" si="27"/>
        <v>25.390347644746676</v>
      </c>
      <c r="Q70" s="94">
        <f t="shared" si="28"/>
        <v>29.052849119165884</v>
      </c>
      <c r="R70" s="94">
        <f t="shared" si="29"/>
        <v>15.571248599831367</v>
      </c>
      <c r="S70" s="94">
        <f t="shared" si="30"/>
        <v>28.468646429994724</v>
      </c>
      <c r="U70" s="165">
        <f>(N70+1)*J70</f>
        <v>50</v>
      </c>
      <c r="V70" s="523">
        <f>(N70+1)*K70</f>
        <v>50</v>
      </c>
      <c r="W70" s="321">
        <f>(N70+1)*L70</f>
        <v>200</v>
      </c>
    </row>
    <row r="71" spans="1:23" ht="15.75">
      <c r="A71" s="148" t="s">
        <v>460</v>
      </c>
      <c r="B71" s="142" t="s">
        <v>498</v>
      </c>
      <c r="C71" s="65">
        <v>13400</v>
      </c>
      <c r="D71" s="65">
        <v>8700</v>
      </c>
      <c r="E71" s="65">
        <v>8040</v>
      </c>
      <c r="F71" s="65">
        <v>7200</v>
      </c>
      <c r="G71" s="65">
        <v>10020</v>
      </c>
      <c r="H71" s="306">
        <v>47360</v>
      </c>
      <c r="I71" s="303">
        <f t="shared" si="18"/>
        <v>47360</v>
      </c>
      <c r="J71" s="92">
        <v>241</v>
      </c>
      <c r="K71" s="520">
        <v>500</v>
      </c>
      <c r="L71" s="525">
        <v>250</v>
      </c>
      <c r="N71" s="186">
        <v>37</v>
      </c>
      <c r="O71" s="94">
        <f t="shared" si="26"/>
        <v>2302691.2654444976</v>
      </c>
      <c r="P71" s="94">
        <f t="shared" si="27"/>
        <v>1495030.8962214277</v>
      </c>
      <c r="Q71" s="94">
        <f t="shared" si="28"/>
        <v>1381614.7592666985</v>
      </c>
      <c r="R71" s="94">
        <f t="shared" si="29"/>
        <v>1237266.9485970435</v>
      </c>
      <c r="S71" s="94">
        <f t="shared" si="30"/>
        <v>1721863.1701308854</v>
      </c>
      <c r="U71" s="165">
        <f t="shared" si="2"/>
        <v>8917</v>
      </c>
      <c r="V71" s="523">
        <f t="shared" si="3"/>
        <v>18500</v>
      </c>
      <c r="W71" s="321">
        <f>N71*L71</f>
        <v>9250</v>
      </c>
    </row>
    <row r="72" spans="1:23">
      <c r="A72" s="148" t="s">
        <v>510</v>
      </c>
      <c r="B72">
        <v>0</v>
      </c>
      <c r="C72" s="65">
        <v>8750</v>
      </c>
      <c r="D72" s="65">
        <v>6950</v>
      </c>
      <c r="E72" s="65">
        <v>6665</v>
      </c>
      <c r="F72" s="65">
        <v>3475</v>
      </c>
      <c r="G72" s="65">
        <v>5850</v>
      </c>
      <c r="H72" s="306">
        <v>31690</v>
      </c>
      <c r="I72" s="303">
        <f t="shared" si="18"/>
        <v>31690</v>
      </c>
      <c r="J72" s="92">
        <v>53</v>
      </c>
      <c r="K72" s="520">
        <v>25</v>
      </c>
      <c r="L72" s="525">
        <v>100</v>
      </c>
      <c r="N72" s="6">
        <v>0</v>
      </c>
      <c r="O72" s="94">
        <f t="shared" si="26"/>
        <v>39.32133484805901</v>
      </c>
      <c r="P72" s="94">
        <f t="shared" si="27"/>
        <v>31.232374536458298</v>
      </c>
      <c r="Q72" s="94">
        <f t="shared" si="28"/>
        <v>29.951622487121522</v>
      </c>
      <c r="R72" s="94">
        <f t="shared" si="29"/>
        <v>15.616187268229149</v>
      </c>
      <c r="S72" s="94">
        <f t="shared" si="30"/>
        <v>26.28912101270231</v>
      </c>
      <c r="U72" s="165">
        <f>(N72+1)*J72</f>
        <v>53</v>
      </c>
      <c r="V72" s="523">
        <f>(N72+1)*K72</f>
        <v>25</v>
      </c>
      <c r="W72" s="321">
        <f>(N72+1)*L72</f>
        <v>100</v>
      </c>
    </row>
    <row r="73" spans="1:23">
      <c r="A73" s="146" t="s">
        <v>511</v>
      </c>
      <c r="B73">
        <v>1</v>
      </c>
      <c r="C73" s="65">
        <v>32000</v>
      </c>
      <c r="D73" s="65">
        <v>95000</v>
      </c>
      <c r="E73" s="65">
        <v>50000</v>
      </c>
      <c r="F73" s="65">
        <v>56000</v>
      </c>
      <c r="G73" s="65">
        <v>25000</v>
      </c>
      <c r="H73" s="306">
        <v>258000</v>
      </c>
      <c r="I73" s="303">
        <f t="shared" si="18"/>
        <v>258000</v>
      </c>
      <c r="J73" s="92">
        <v>430</v>
      </c>
      <c r="K73" s="520">
        <v>500</v>
      </c>
      <c r="L73" s="525">
        <v>150</v>
      </c>
      <c r="N73" s="6">
        <v>1</v>
      </c>
      <c r="O73" s="94">
        <f t="shared" si="26"/>
        <v>191.25897270095902</v>
      </c>
      <c r="P73" s="94">
        <f t="shared" si="27"/>
        <v>567.80007520597212</v>
      </c>
      <c r="Q73" s="94">
        <f t="shared" si="28"/>
        <v>298.84214484524847</v>
      </c>
      <c r="R73" s="94">
        <f t="shared" si="29"/>
        <v>334.70320222667829</v>
      </c>
      <c r="S73" s="94">
        <f t="shared" si="30"/>
        <v>149.42107242262423</v>
      </c>
      <c r="U73" s="165">
        <f t="shared" si="2"/>
        <v>430</v>
      </c>
      <c r="V73" s="523">
        <f t="shared" si="3"/>
        <v>500</v>
      </c>
      <c r="W73" s="321">
        <f>(N73+1)*L73</f>
        <v>300</v>
      </c>
    </row>
    <row r="74" spans="1:23">
      <c r="A74" s="146" t="s">
        <v>512</v>
      </c>
      <c r="B74">
        <v>2</v>
      </c>
      <c r="C74" s="65">
        <v>45000</v>
      </c>
      <c r="D74" s="65">
        <v>45000</v>
      </c>
      <c r="E74" s="65">
        <v>60000</v>
      </c>
      <c r="F74" s="65">
        <v>80000</v>
      </c>
      <c r="G74" s="65">
        <v>40000</v>
      </c>
      <c r="H74" s="306">
        <v>270000</v>
      </c>
      <c r="I74" s="303">
        <f t="shared" si="18"/>
        <v>270000</v>
      </c>
      <c r="J74" s="92">
        <v>423</v>
      </c>
      <c r="K74" s="520">
        <v>500</v>
      </c>
      <c r="L74" s="525">
        <v>250</v>
      </c>
      <c r="N74" s="186">
        <v>2</v>
      </c>
      <c r="O74" s="94">
        <f t="shared" si="26"/>
        <v>357.71404737976241</v>
      </c>
      <c r="P74" s="94">
        <f t="shared" si="27"/>
        <v>357.71404737976241</v>
      </c>
      <c r="Q74" s="94">
        <f t="shared" si="28"/>
        <v>476.95206317301665</v>
      </c>
      <c r="R74" s="94">
        <f t="shared" si="29"/>
        <v>635.93608423068872</v>
      </c>
      <c r="S74" s="94">
        <f t="shared" si="30"/>
        <v>317.96804211534436</v>
      </c>
      <c r="U74" s="165">
        <f t="shared" si="2"/>
        <v>846</v>
      </c>
      <c r="V74" s="523">
        <f t="shared" si="3"/>
        <v>1000</v>
      </c>
      <c r="W74" s="321">
        <f>N74*L74</f>
        <v>500</v>
      </c>
    </row>
    <row r="75" spans="1:23">
      <c r="A75" s="148" t="s">
        <v>437</v>
      </c>
      <c r="B75">
        <v>0</v>
      </c>
      <c r="C75" s="65">
        <v>2780</v>
      </c>
      <c r="D75" s="65">
        <v>2600</v>
      </c>
      <c r="E75" s="65">
        <v>3545</v>
      </c>
      <c r="F75" s="65">
        <v>4120</v>
      </c>
      <c r="G75" s="65">
        <v>1875</v>
      </c>
      <c r="H75" s="306">
        <v>14920</v>
      </c>
      <c r="I75" s="303">
        <f t="shared" si="18"/>
        <v>14920</v>
      </c>
      <c r="J75" s="92">
        <v>23</v>
      </c>
      <c r="K75" s="520">
        <v>25</v>
      </c>
      <c r="L75" s="525">
        <v>100</v>
      </c>
      <c r="N75" s="6">
        <v>0</v>
      </c>
      <c r="O75" s="94">
        <f t="shared" si="26"/>
        <v>12.492949814583319</v>
      </c>
      <c r="P75" s="94">
        <f t="shared" si="27"/>
        <v>11.684053783423249</v>
      </c>
      <c r="Q75" s="94">
        <f t="shared" si="28"/>
        <v>15.930757947013621</v>
      </c>
      <c r="R75" s="94">
        <f t="shared" si="29"/>
        <v>18.514731379886072</v>
      </c>
      <c r="S75" s="94">
        <f t="shared" si="30"/>
        <v>8.4260003245840736</v>
      </c>
      <c r="U75" s="165">
        <f>(N75+1)*J75</f>
        <v>23</v>
      </c>
      <c r="V75" s="523">
        <f>(N75+1)*K75</f>
        <v>25</v>
      </c>
      <c r="W75" s="321">
        <f>(N75+1)*L75</f>
        <v>100</v>
      </c>
    </row>
    <row r="76" spans="1:23" ht="15.75">
      <c r="A76" s="146" t="s">
        <v>513</v>
      </c>
      <c r="B76" s="142" t="s">
        <v>498</v>
      </c>
      <c r="C76" s="65">
        <v>7850</v>
      </c>
      <c r="D76" s="65">
        <v>8450</v>
      </c>
      <c r="E76" s="65">
        <v>12550</v>
      </c>
      <c r="F76" s="65">
        <v>6980</v>
      </c>
      <c r="G76" s="65">
        <v>2730</v>
      </c>
      <c r="H76" s="306">
        <v>38560</v>
      </c>
      <c r="I76" s="303">
        <f t="shared" si="18"/>
        <v>38560</v>
      </c>
      <c r="J76" s="92">
        <v>29</v>
      </c>
      <c r="K76" s="520">
        <v>100</v>
      </c>
      <c r="L76" s="525">
        <v>150</v>
      </c>
      <c r="N76" s="186">
        <v>30</v>
      </c>
      <c r="O76" s="94">
        <f t="shared" si="26"/>
        <v>183247.9332652814</v>
      </c>
      <c r="P76" s="94">
        <f t="shared" si="27"/>
        <v>197254.14472504813</v>
      </c>
      <c r="Q76" s="94">
        <f t="shared" si="28"/>
        <v>292963.25636678748</v>
      </c>
      <c r="R76" s="94">
        <f t="shared" si="29"/>
        <v>162938.92664861964</v>
      </c>
      <c r="S76" s="94">
        <f t="shared" si="30"/>
        <v>63728.262141938634</v>
      </c>
      <c r="U76" s="165">
        <f t="shared" si="2"/>
        <v>870</v>
      </c>
      <c r="V76" s="523">
        <f t="shared" si="3"/>
        <v>3000</v>
      </c>
      <c r="W76" s="321">
        <f>N76*L76</f>
        <v>4500</v>
      </c>
    </row>
    <row r="77" spans="1:23">
      <c r="A77" s="146" t="s">
        <v>514</v>
      </c>
      <c r="B77">
        <v>0</v>
      </c>
      <c r="C77" s="65">
        <v>3455</v>
      </c>
      <c r="D77" s="65">
        <v>2795</v>
      </c>
      <c r="E77" s="65">
        <v>4500</v>
      </c>
      <c r="F77" s="65">
        <v>2965</v>
      </c>
      <c r="G77" s="65">
        <v>1775</v>
      </c>
      <c r="H77" s="306">
        <v>15490</v>
      </c>
      <c r="I77" s="303">
        <f t="shared" si="18"/>
        <v>15490</v>
      </c>
      <c r="J77" s="92">
        <v>25</v>
      </c>
      <c r="K77" s="520">
        <v>50</v>
      </c>
      <c r="L77" s="525">
        <v>150</v>
      </c>
      <c r="N77" s="6">
        <v>0</v>
      </c>
      <c r="O77" s="94">
        <f t="shared" si="26"/>
        <v>15.526309931433586</v>
      </c>
      <c r="P77" s="94">
        <f t="shared" si="27"/>
        <v>12.560357817179993</v>
      </c>
      <c r="Q77" s="94">
        <f t="shared" si="28"/>
        <v>20.222400779001777</v>
      </c>
      <c r="R77" s="94">
        <f t="shared" si="29"/>
        <v>13.324315179942282</v>
      </c>
      <c r="S77" s="94">
        <f t="shared" si="30"/>
        <v>7.9766136406062564</v>
      </c>
      <c r="U77" s="165">
        <f>(N77+1)*J77</f>
        <v>25</v>
      </c>
      <c r="V77" s="523">
        <f>(N77+1)*K77</f>
        <v>50</v>
      </c>
      <c r="W77" s="321">
        <f>(N77+1)*L77</f>
        <v>150</v>
      </c>
    </row>
    <row r="78" spans="1:23">
      <c r="A78" s="146" t="s">
        <v>515</v>
      </c>
      <c r="B78">
        <v>0</v>
      </c>
      <c r="C78" s="65">
        <v>4750</v>
      </c>
      <c r="D78" s="65">
        <v>3985</v>
      </c>
      <c r="E78" s="65">
        <v>7580</v>
      </c>
      <c r="F78" s="65">
        <v>3480</v>
      </c>
      <c r="G78" s="65">
        <v>4200</v>
      </c>
      <c r="H78" s="306">
        <v>23995</v>
      </c>
      <c r="I78" s="303">
        <f t="shared" si="18"/>
        <v>23995</v>
      </c>
      <c r="J78" s="92">
        <v>39</v>
      </c>
      <c r="K78" s="520">
        <v>100</v>
      </c>
      <c r="L78" s="525">
        <v>250</v>
      </c>
      <c r="N78" s="6">
        <v>0</v>
      </c>
      <c r="O78" s="94">
        <f t="shared" si="26"/>
        <v>21.345867488946318</v>
      </c>
      <c r="P78" s="94">
        <f t="shared" si="27"/>
        <v>17.908059356516016</v>
      </c>
      <c r="Q78" s="94">
        <f t="shared" si="28"/>
        <v>34.063510645518548</v>
      </c>
      <c r="R78" s="94">
        <f t="shared" si="29"/>
        <v>15.638656602428041</v>
      </c>
      <c r="S78" s="94">
        <f t="shared" si="30"/>
        <v>18.874240727068326</v>
      </c>
      <c r="U78" s="165">
        <f>(N78+1)*J78</f>
        <v>39</v>
      </c>
      <c r="V78" s="523">
        <f>(N78+1)*K78</f>
        <v>100</v>
      </c>
      <c r="W78" s="321">
        <f>(N78+1)*L78</f>
        <v>250</v>
      </c>
    </row>
    <row r="79" spans="1:23">
      <c r="A79" s="146" t="s">
        <v>516</v>
      </c>
      <c r="B79">
        <v>0</v>
      </c>
      <c r="C79" s="65">
        <v>7850</v>
      </c>
      <c r="D79" s="65">
        <v>4860</v>
      </c>
      <c r="E79" s="65">
        <v>9855</v>
      </c>
      <c r="F79" s="65">
        <v>2385</v>
      </c>
      <c r="G79" s="65">
        <v>6405</v>
      </c>
      <c r="H79" s="306">
        <v>31355</v>
      </c>
      <c r="I79" s="303">
        <f t="shared" si="18"/>
        <v>31355</v>
      </c>
      <c r="J79" s="92">
        <v>52</v>
      </c>
      <c r="K79" s="520">
        <v>250</v>
      </c>
      <c r="L79" s="525">
        <v>500</v>
      </c>
      <c r="N79" s="6">
        <v>0</v>
      </c>
      <c r="O79" s="94">
        <f t="shared" si="26"/>
        <v>35.276854692258652</v>
      </c>
      <c r="P79" s="94">
        <f t="shared" si="27"/>
        <v>21.840192841321919</v>
      </c>
      <c r="Q79" s="94">
        <f t="shared" si="28"/>
        <v>44.28705770601389</v>
      </c>
      <c r="R79" s="94">
        <f t="shared" si="29"/>
        <v>10.717872412870941</v>
      </c>
      <c r="S79" s="94">
        <f t="shared" si="30"/>
        <v>28.783217108779194</v>
      </c>
      <c r="U79" s="165">
        <f>(N79+1)*J79</f>
        <v>52</v>
      </c>
      <c r="V79" s="523">
        <f>(N79+1)*K79</f>
        <v>250</v>
      </c>
      <c r="W79" s="321">
        <f>(N79+1)*L79</f>
        <v>500</v>
      </c>
    </row>
    <row r="80" spans="1:23" ht="15.75">
      <c r="A80" s="146" t="s">
        <v>517</v>
      </c>
      <c r="B80" s="142" t="s">
        <v>498</v>
      </c>
      <c r="C80" s="65">
        <v>3135</v>
      </c>
      <c r="D80" s="65">
        <v>800</v>
      </c>
      <c r="E80" s="65">
        <v>4220</v>
      </c>
      <c r="F80" s="65">
        <v>1980</v>
      </c>
      <c r="G80" s="65">
        <v>200</v>
      </c>
      <c r="H80" s="306">
        <v>10335</v>
      </c>
      <c r="I80" s="303">
        <f t="shared" si="18"/>
        <v>10335</v>
      </c>
      <c r="J80" s="92">
        <v>15</v>
      </c>
      <c r="K80" s="520">
        <v>20</v>
      </c>
      <c r="L80" s="525">
        <v>50</v>
      </c>
      <c r="N80" s="186">
        <v>33</v>
      </c>
      <c r="O80" s="94">
        <f t="shared" si="26"/>
        <v>172171.75109512213</v>
      </c>
      <c r="P80" s="94">
        <f t="shared" si="27"/>
        <v>43935.375080094964</v>
      </c>
      <c r="Q80" s="94">
        <f t="shared" si="28"/>
        <v>231759.10354750091</v>
      </c>
      <c r="R80" s="94">
        <f t="shared" si="29"/>
        <v>108740.05332323504</v>
      </c>
      <c r="S80" s="94">
        <f t="shared" si="30"/>
        <v>10983.843770023741</v>
      </c>
      <c r="U80" s="165">
        <f>N80*J80</f>
        <v>495</v>
      </c>
      <c r="V80" s="523">
        <f>N80*K80</f>
        <v>660</v>
      </c>
      <c r="W80" s="321">
        <f>N80*L80</f>
        <v>1650</v>
      </c>
    </row>
    <row r="81" spans="1:23" ht="15.75">
      <c r="A81" s="146" t="s">
        <v>518</v>
      </c>
      <c r="B81" s="142" t="s">
        <v>498</v>
      </c>
      <c r="C81" s="65">
        <v>6000</v>
      </c>
      <c r="D81" s="65">
        <v>2300</v>
      </c>
      <c r="E81" s="65">
        <v>8000</v>
      </c>
      <c r="F81" s="65">
        <v>3500</v>
      </c>
      <c r="G81" s="65">
        <v>500</v>
      </c>
      <c r="H81" s="307">
        <v>20300</v>
      </c>
      <c r="I81" s="313">
        <f t="shared" si="18"/>
        <v>20300</v>
      </c>
      <c r="J81" s="92">
        <v>35</v>
      </c>
      <c r="K81" s="520">
        <v>50</v>
      </c>
      <c r="L81" s="525">
        <v>100</v>
      </c>
      <c r="N81" s="186">
        <v>31</v>
      </c>
      <c r="O81" s="94">
        <f t="shared" si="26"/>
        <v>186282.61241489748</v>
      </c>
      <c r="P81" s="94">
        <f t="shared" si="27"/>
        <v>71408.334759044039</v>
      </c>
      <c r="Q81" s="94">
        <f t="shared" si="28"/>
        <v>248376.81655319667</v>
      </c>
      <c r="R81" s="94">
        <f t="shared" si="29"/>
        <v>108664.85724202353</v>
      </c>
      <c r="S81" s="94">
        <f t="shared" si="30"/>
        <v>15523.551034574792</v>
      </c>
      <c r="U81" s="165">
        <f>N81*J81</f>
        <v>1085</v>
      </c>
      <c r="V81" s="523">
        <f>N81*K81</f>
        <v>1550</v>
      </c>
      <c r="W81" s="321">
        <f>N81*L81</f>
        <v>3100</v>
      </c>
    </row>
    <row r="82" spans="1:23" ht="15.75">
      <c r="A82" s="146"/>
      <c r="B82" s="142"/>
      <c r="C82" s="65"/>
      <c r="D82" s="65"/>
      <c r="E82" s="65"/>
      <c r="F82" s="65"/>
      <c r="G82" s="65"/>
      <c r="H82" s="107"/>
      <c r="N82" s="78"/>
      <c r="O82" s="94"/>
      <c r="P82" s="94"/>
      <c r="Q82" s="94"/>
      <c r="R82" s="94"/>
      <c r="S82" s="94"/>
      <c r="U82" s="323">
        <f>SUM(U50:U81)</f>
        <v>19160</v>
      </c>
      <c r="V82" s="524">
        <f>SUM(V50:V81)</f>
        <v>27600</v>
      </c>
      <c r="W82" s="322">
        <f>SUM(W50:W81)</f>
        <v>31400</v>
      </c>
    </row>
    <row r="83" spans="1:23">
      <c r="C83" s="92"/>
      <c r="D83" s="92"/>
      <c r="E83" s="92"/>
      <c r="F83" s="92"/>
      <c r="G83" s="92"/>
      <c r="N83" s="77"/>
      <c r="O83" s="94"/>
      <c r="P83" s="94"/>
      <c r="Q83" s="94"/>
      <c r="R83" s="94"/>
      <c r="S83" s="94"/>
      <c r="U83" s="165"/>
      <c r="V83" s="523"/>
      <c r="W83" s="321"/>
    </row>
    <row r="84" spans="1:23">
      <c r="A84" s="150" t="s">
        <v>519</v>
      </c>
      <c r="B84">
        <v>0</v>
      </c>
      <c r="C84" s="65">
        <v>750</v>
      </c>
      <c r="D84" s="65">
        <v>695</v>
      </c>
      <c r="E84" s="65">
        <v>385</v>
      </c>
      <c r="F84" s="65">
        <v>455</v>
      </c>
      <c r="G84" s="65">
        <v>190</v>
      </c>
      <c r="H84" s="305">
        <v>2475</v>
      </c>
      <c r="I84" s="304">
        <f t="shared" ref="I84:I122" si="31">C84+D84+E84+F84+G84</f>
        <v>2475</v>
      </c>
      <c r="J84" s="92">
        <v>0</v>
      </c>
      <c r="K84" s="520">
        <v>0</v>
      </c>
      <c r="L84" s="525">
        <v>0</v>
      </c>
      <c r="N84" s="6">
        <v>0</v>
      </c>
      <c r="O84" s="94">
        <f t="shared" ref="O84:O122" si="32">C84*1.33^($N84)/(1.6^($B$3/2))</f>
        <v>3.3704001298336292</v>
      </c>
      <c r="P84" s="94">
        <f t="shared" ref="P84:P122" si="33">D84*1.33^($N84)/(1.6^($B$3/2))</f>
        <v>3.1232374536458298</v>
      </c>
      <c r="Q84" s="94">
        <f t="shared" ref="Q84:Q122" si="34">E84*1.33^($N84)/(1.6^($B$3/2))</f>
        <v>1.7301387333145966</v>
      </c>
      <c r="R84" s="94">
        <f t="shared" ref="R84:R122" si="35">F84*1.33^($N84)/(1.6^($B$3/2))</f>
        <v>2.0447094120990688</v>
      </c>
      <c r="S84" s="94">
        <f t="shared" ref="S84:S122" si="36">G84*1.33^($N84)/(1.6^($B$3/2))</f>
        <v>0.85383469955785285</v>
      </c>
      <c r="U84" s="165">
        <f>(N84+1)*J84</f>
        <v>0</v>
      </c>
      <c r="V84" s="523">
        <f>(N84+1)*K84</f>
        <v>0</v>
      </c>
      <c r="W84" s="321">
        <f>(N84+1)*L84</f>
        <v>0</v>
      </c>
    </row>
    <row r="85" spans="1:23">
      <c r="A85" s="151" t="s">
        <v>520</v>
      </c>
      <c r="B85">
        <v>0</v>
      </c>
      <c r="C85" s="65">
        <v>3458</v>
      </c>
      <c r="D85" s="65">
        <v>3225</v>
      </c>
      <c r="E85" s="65">
        <v>2740</v>
      </c>
      <c r="F85" s="65">
        <v>2895</v>
      </c>
      <c r="G85" s="65">
        <v>3005</v>
      </c>
      <c r="H85" s="306">
        <v>15323</v>
      </c>
      <c r="I85" s="303">
        <f t="shared" si="31"/>
        <v>15323</v>
      </c>
      <c r="J85" s="92">
        <v>25</v>
      </c>
      <c r="K85" s="520">
        <v>20</v>
      </c>
      <c r="L85" s="525">
        <v>25</v>
      </c>
      <c r="N85" s="6">
        <v>0</v>
      </c>
      <c r="O85" s="94">
        <f t="shared" si="32"/>
        <v>15.53979153195292</v>
      </c>
      <c r="P85" s="94">
        <f t="shared" si="33"/>
        <v>14.492720558284606</v>
      </c>
      <c r="Q85" s="94">
        <f t="shared" si="34"/>
        <v>12.313195140992192</v>
      </c>
      <c r="R85" s="94">
        <f t="shared" si="35"/>
        <v>13.00974450115781</v>
      </c>
      <c r="S85" s="94">
        <f t="shared" si="36"/>
        <v>13.504069853533409</v>
      </c>
      <c r="U85" s="165">
        <f t="shared" ref="U85:U97" si="37">(N85+1)*J85</f>
        <v>25</v>
      </c>
      <c r="V85" s="523">
        <f t="shared" ref="V85:V97" si="38">(N85+1)*K85</f>
        <v>20</v>
      </c>
      <c r="W85" s="321">
        <f t="shared" ref="W85:W97" si="39">(N85+1)*L85</f>
        <v>25</v>
      </c>
    </row>
    <row r="86" spans="1:23">
      <c r="A86" s="149" t="s">
        <v>121</v>
      </c>
      <c r="B86">
        <v>0</v>
      </c>
      <c r="C86" s="65">
        <v>4500</v>
      </c>
      <c r="D86" s="65">
        <v>4000</v>
      </c>
      <c r="E86" s="65">
        <v>3000</v>
      </c>
      <c r="F86" s="65">
        <v>2000</v>
      </c>
      <c r="G86" s="65">
        <v>1500</v>
      </c>
      <c r="H86" s="306">
        <v>15000</v>
      </c>
      <c r="I86" s="303">
        <f t="shared" si="31"/>
        <v>15000</v>
      </c>
      <c r="J86" s="92">
        <v>14</v>
      </c>
      <c r="K86" s="520">
        <v>25</v>
      </c>
      <c r="L86" s="525">
        <v>25</v>
      </c>
      <c r="N86" s="6">
        <v>0</v>
      </c>
      <c r="O86" s="94">
        <f t="shared" si="32"/>
        <v>20.222400779001777</v>
      </c>
      <c r="P86" s="94">
        <f t="shared" si="33"/>
        <v>17.975467359112692</v>
      </c>
      <c r="Q86" s="94">
        <f t="shared" si="34"/>
        <v>13.481600519334517</v>
      </c>
      <c r="R86" s="94">
        <f t="shared" si="35"/>
        <v>8.9877336795563458</v>
      </c>
      <c r="S86" s="94">
        <f t="shared" si="36"/>
        <v>6.7408002596672585</v>
      </c>
      <c r="U86" s="165">
        <f t="shared" si="37"/>
        <v>14</v>
      </c>
      <c r="V86" s="523">
        <f t="shared" si="38"/>
        <v>25</v>
      </c>
      <c r="W86" s="321">
        <f t="shared" si="39"/>
        <v>25</v>
      </c>
    </row>
    <row r="87" spans="1:23">
      <c r="A87" s="149" t="s">
        <v>126</v>
      </c>
      <c r="B87">
        <v>0</v>
      </c>
      <c r="C87" s="65">
        <v>6430</v>
      </c>
      <c r="D87" s="65">
        <v>7430</v>
      </c>
      <c r="E87" s="65">
        <v>3545</v>
      </c>
      <c r="F87" s="65">
        <v>2455</v>
      </c>
      <c r="G87" s="65">
        <v>3735</v>
      </c>
      <c r="H87" s="306">
        <v>23595</v>
      </c>
      <c r="I87" s="303">
        <f t="shared" si="31"/>
        <v>23595</v>
      </c>
      <c r="J87" s="92">
        <v>40</v>
      </c>
      <c r="K87" s="520">
        <v>50</v>
      </c>
      <c r="L87" s="525">
        <v>50</v>
      </c>
      <c r="N87" s="6">
        <v>0</v>
      </c>
      <c r="O87" s="94">
        <f t="shared" si="32"/>
        <v>28.895563779773649</v>
      </c>
      <c r="P87" s="94">
        <f t="shared" si="33"/>
        <v>33.389430619551824</v>
      </c>
      <c r="Q87" s="94">
        <f t="shared" si="34"/>
        <v>15.930757947013621</v>
      </c>
      <c r="R87" s="94">
        <f t="shared" si="35"/>
        <v>11.032443091655415</v>
      </c>
      <c r="S87" s="94">
        <f t="shared" si="36"/>
        <v>16.784592646571475</v>
      </c>
      <c r="U87" s="165">
        <f t="shared" si="37"/>
        <v>40</v>
      </c>
      <c r="V87" s="523">
        <f t="shared" si="38"/>
        <v>50</v>
      </c>
      <c r="W87" s="321">
        <f t="shared" si="39"/>
        <v>50</v>
      </c>
    </row>
    <row r="88" spans="1:23">
      <c r="A88" s="149" t="s">
        <v>251</v>
      </c>
      <c r="B88">
        <v>0</v>
      </c>
      <c r="C88" s="65">
        <v>12500</v>
      </c>
      <c r="D88" s="65">
        <v>15000</v>
      </c>
      <c r="E88" s="65">
        <v>14250</v>
      </c>
      <c r="F88" s="65">
        <v>5005</v>
      </c>
      <c r="G88" s="65">
        <v>7850</v>
      </c>
      <c r="H88" s="306">
        <v>54605</v>
      </c>
      <c r="I88" s="303">
        <f t="shared" si="31"/>
        <v>54605</v>
      </c>
      <c r="J88" s="92">
        <v>92</v>
      </c>
      <c r="K88" s="520">
        <v>100</v>
      </c>
      <c r="L88" s="525">
        <v>100</v>
      </c>
      <c r="N88" s="6">
        <v>0</v>
      </c>
      <c r="O88" s="94">
        <f t="shared" si="32"/>
        <v>56.173335497227157</v>
      </c>
      <c r="P88" s="94">
        <f t="shared" si="33"/>
        <v>67.408002596672588</v>
      </c>
      <c r="Q88" s="94">
        <f t="shared" si="34"/>
        <v>64.037602466838962</v>
      </c>
      <c r="R88" s="94">
        <f t="shared" si="35"/>
        <v>22.491803533089755</v>
      </c>
      <c r="S88" s="94">
        <f t="shared" si="36"/>
        <v>35.276854692258652</v>
      </c>
      <c r="U88" s="165">
        <f t="shared" si="37"/>
        <v>92</v>
      </c>
      <c r="V88" s="523">
        <f t="shared" si="38"/>
        <v>100</v>
      </c>
      <c r="W88" s="321">
        <f t="shared" si="39"/>
        <v>100</v>
      </c>
    </row>
    <row r="89" spans="1:23">
      <c r="A89" s="149" t="s">
        <v>124</v>
      </c>
      <c r="B89">
        <v>0</v>
      </c>
      <c r="C89" s="65">
        <v>3500</v>
      </c>
      <c r="D89" s="65">
        <v>2000</v>
      </c>
      <c r="E89" s="65">
        <v>6000</v>
      </c>
      <c r="F89" s="65">
        <v>3000</v>
      </c>
      <c r="G89" s="65">
        <v>500</v>
      </c>
      <c r="H89" s="306">
        <v>15000</v>
      </c>
      <c r="I89" s="303">
        <f t="shared" si="31"/>
        <v>15000</v>
      </c>
      <c r="J89" s="92">
        <v>12</v>
      </c>
      <c r="K89" s="520">
        <v>25</v>
      </c>
      <c r="L89" s="525">
        <v>25</v>
      </c>
      <c r="N89" s="6">
        <v>0</v>
      </c>
      <c r="O89" s="94">
        <f t="shared" si="32"/>
        <v>15.728533939223604</v>
      </c>
      <c r="P89" s="94">
        <f t="shared" si="33"/>
        <v>8.9877336795563458</v>
      </c>
      <c r="Q89" s="94">
        <f t="shared" si="34"/>
        <v>26.963201038669034</v>
      </c>
      <c r="R89" s="94">
        <f t="shared" si="35"/>
        <v>13.481600519334517</v>
      </c>
      <c r="S89" s="94">
        <f t="shared" si="36"/>
        <v>2.2469334198890865</v>
      </c>
      <c r="U89" s="165">
        <f t="shared" si="37"/>
        <v>12</v>
      </c>
      <c r="V89" s="523">
        <f t="shared" si="38"/>
        <v>25</v>
      </c>
      <c r="W89" s="321">
        <f t="shared" si="39"/>
        <v>25</v>
      </c>
    </row>
    <row r="90" spans="1:23">
      <c r="A90" s="149" t="s">
        <v>215</v>
      </c>
      <c r="B90">
        <v>0</v>
      </c>
      <c r="C90" s="65">
        <v>4250</v>
      </c>
      <c r="D90" s="65">
        <v>3780</v>
      </c>
      <c r="E90" s="65">
        <v>6500</v>
      </c>
      <c r="F90" s="65">
        <v>4230</v>
      </c>
      <c r="G90" s="65">
        <v>2225</v>
      </c>
      <c r="H90" s="306">
        <v>20985</v>
      </c>
      <c r="I90" s="303">
        <f t="shared" si="31"/>
        <v>20985</v>
      </c>
      <c r="J90" s="92">
        <v>33</v>
      </c>
      <c r="K90" s="520">
        <v>50</v>
      </c>
      <c r="L90" s="525">
        <v>50</v>
      </c>
      <c r="N90" s="6">
        <v>0</v>
      </c>
      <c r="O90" s="94">
        <f t="shared" si="32"/>
        <v>19.098934069057233</v>
      </c>
      <c r="P90" s="94">
        <f t="shared" si="33"/>
        <v>16.986816654361494</v>
      </c>
      <c r="Q90" s="94">
        <f t="shared" si="34"/>
        <v>29.210134458558123</v>
      </c>
      <c r="R90" s="94">
        <f t="shared" si="35"/>
        <v>19.009056732261669</v>
      </c>
      <c r="S90" s="94">
        <f t="shared" si="36"/>
        <v>9.9988537185064335</v>
      </c>
      <c r="U90" s="165">
        <f t="shared" si="37"/>
        <v>33</v>
      </c>
      <c r="V90" s="523">
        <f t="shared" si="38"/>
        <v>50</v>
      </c>
      <c r="W90" s="321">
        <f t="shared" si="39"/>
        <v>50</v>
      </c>
    </row>
    <row r="91" spans="1:23">
      <c r="A91" s="149" t="s">
        <v>255</v>
      </c>
      <c r="B91">
        <v>0</v>
      </c>
      <c r="C91" s="65">
        <v>7855</v>
      </c>
      <c r="D91" s="65">
        <v>9500</v>
      </c>
      <c r="E91" s="65">
        <v>5470</v>
      </c>
      <c r="F91" s="65">
        <v>6555</v>
      </c>
      <c r="G91" s="65">
        <v>4480</v>
      </c>
      <c r="H91" s="306">
        <v>33860</v>
      </c>
      <c r="I91" s="303">
        <f t="shared" si="31"/>
        <v>33860</v>
      </c>
      <c r="J91" s="92">
        <v>96</v>
      </c>
      <c r="K91" s="520">
        <v>100</v>
      </c>
      <c r="L91" s="525">
        <v>100</v>
      </c>
      <c r="N91" s="6">
        <v>0</v>
      </c>
      <c r="O91" s="94">
        <f t="shared" si="32"/>
        <v>35.299324026457548</v>
      </c>
      <c r="P91" s="94">
        <f t="shared" si="33"/>
        <v>42.691734977892636</v>
      </c>
      <c r="Q91" s="94">
        <f t="shared" si="34"/>
        <v>24.581451613586605</v>
      </c>
      <c r="R91" s="94">
        <f t="shared" si="35"/>
        <v>29.457297134745922</v>
      </c>
      <c r="S91" s="94">
        <f t="shared" si="36"/>
        <v>20.132523442206214</v>
      </c>
      <c r="U91" s="165">
        <f t="shared" si="37"/>
        <v>96</v>
      </c>
      <c r="V91" s="523">
        <f t="shared" si="38"/>
        <v>100</v>
      </c>
      <c r="W91" s="321">
        <f t="shared" si="39"/>
        <v>100</v>
      </c>
    </row>
    <row r="92" spans="1:23">
      <c r="A92" s="149" t="s">
        <v>522</v>
      </c>
      <c r="B92">
        <v>0</v>
      </c>
      <c r="C92" s="65">
        <v>500</v>
      </c>
      <c r="D92" s="65">
        <v>8000</v>
      </c>
      <c r="E92" s="65">
        <v>4000</v>
      </c>
      <c r="F92" s="65">
        <v>1000</v>
      </c>
      <c r="G92" s="65">
        <v>600</v>
      </c>
      <c r="H92" s="306">
        <v>14100</v>
      </c>
      <c r="I92" s="303">
        <f t="shared" si="31"/>
        <v>14100</v>
      </c>
      <c r="J92" s="92">
        <v>12</v>
      </c>
      <c r="K92" s="520">
        <v>25</v>
      </c>
      <c r="L92" s="525">
        <v>25</v>
      </c>
      <c r="N92" s="6">
        <v>0</v>
      </c>
      <c r="O92" s="94">
        <f t="shared" si="32"/>
        <v>2.2469334198890865</v>
      </c>
      <c r="P92" s="94">
        <f t="shared" si="33"/>
        <v>35.950934718225383</v>
      </c>
      <c r="Q92" s="94">
        <f t="shared" si="34"/>
        <v>17.975467359112692</v>
      </c>
      <c r="R92" s="94">
        <f t="shared" si="35"/>
        <v>4.4938668397781729</v>
      </c>
      <c r="S92" s="94">
        <f t="shared" si="36"/>
        <v>2.6963201038669036</v>
      </c>
      <c r="U92" s="165">
        <f t="shared" si="37"/>
        <v>12</v>
      </c>
      <c r="V92" s="523">
        <f t="shared" si="38"/>
        <v>25</v>
      </c>
      <c r="W92" s="321">
        <f t="shared" si="39"/>
        <v>25</v>
      </c>
    </row>
    <row r="93" spans="1:23">
      <c r="A93" s="149" t="s">
        <v>202</v>
      </c>
      <c r="B93">
        <v>0</v>
      </c>
      <c r="C93" s="65">
        <v>6750</v>
      </c>
      <c r="D93" s="65">
        <v>2400</v>
      </c>
      <c r="E93" s="65">
        <v>4000</v>
      </c>
      <c r="F93" s="65">
        <v>5580</v>
      </c>
      <c r="G93" s="65">
        <v>3480</v>
      </c>
      <c r="H93" s="306">
        <v>22210</v>
      </c>
      <c r="I93" s="303">
        <f t="shared" si="31"/>
        <v>22210</v>
      </c>
      <c r="J93" s="92">
        <v>35</v>
      </c>
      <c r="K93" s="520">
        <v>50</v>
      </c>
      <c r="L93" s="525">
        <v>50</v>
      </c>
      <c r="N93" s="6">
        <v>0</v>
      </c>
      <c r="O93" s="94">
        <f t="shared" si="32"/>
        <v>30.333601168502664</v>
      </c>
      <c r="P93" s="94">
        <f t="shared" si="33"/>
        <v>10.785280415467614</v>
      </c>
      <c r="Q93" s="94">
        <f t="shared" si="34"/>
        <v>17.975467359112692</v>
      </c>
      <c r="R93" s="94">
        <f t="shared" si="35"/>
        <v>25.075776965962202</v>
      </c>
      <c r="S93" s="94">
        <f t="shared" si="36"/>
        <v>15.638656602428041</v>
      </c>
      <c r="U93" s="165">
        <f t="shared" si="37"/>
        <v>35</v>
      </c>
      <c r="V93" s="523">
        <f t="shared" si="38"/>
        <v>50</v>
      </c>
      <c r="W93" s="321">
        <f t="shared" si="39"/>
        <v>50</v>
      </c>
    </row>
    <row r="94" spans="1:23">
      <c r="A94" s="149" t="s">
        <v>275</v>
      </c>
      <c r="B94">
        <v>0</v>
      </c>
      <c r="C94" s="65">
        <v>8500</v>
      </c>
      <c r="D94" s="65">
        <v>12000</v>
      </c>
      <c r="E94" s="65">
        <v>18200</v>
      </c>
      <c r="F94" s="65">
        <v>6400</v>
      </c>
      <c r="G94" s="65">
        <v>8500</v>
      </c>
      <c r="H94" s="306">
        <v>53600</v>
      </c>
      <c r="I94" s="303">
        <f t="shared" si="31"/>
        <v>53600</v>
      </c>
      <c r="J94" s="92">
        <v>88</v>
      </c>
      <c r="K94" s="520">
        <v>100</v>
      </c>
      <c r="L94" s="525">
        <v>100</v>
      </c>
      <c r="N94" s="6">
        <v>0</v>
      </c>
      <c r="O94" s="94">
        <f t="shared" si="32"/>
        <v>38.197868138114465</v>
      </c>
      <c r="P94" s="94">
        <f t="shared" si="33"/>
        <v>53.926402077338068</v>
      </c>
      <c r="Q94" s="94">
        <f t="shared" si="34"/>
        <v>81.788376483962736</v>
      </c>
      <c r="R94" s="94">
        <f t="shared" si="35"/>
        <v>28.760747774580306</v>
      </c>
      <c r="S94" s="94">
        <f t="shared" si="36"/>
        <v>38.197868138114465</v>
      </c>
      <c r="U94" s="165">
        <f t="shared" si="37"/>
        <v>88</v>
      </c>
      <c r="V94" s="523">
        <f t="shared" si="38"/>
        <v>100</v>
      </c>
      <c r="W94" s="321">
        <f t="shared" si="39"/>
        <v>100</v>
      </c>
    </row>
    <row r="95" spans="1:23">
      <c r="A95" s="149" t="s">
        <v>523</v>
      </c>
      <c r="B95">
        <v>0</v>
      </c>
      <c r="C95" s="65">
        <v>1500</v>
      </c>
      <c r="D95" s="65">
        <v>4000</v>
      </c>
      <c r="E95" s="65">
        <v>2000</v>
      </c>
      <c r="F95" s="65">
        <v>2000</v>
      </c>
      <c r="G95" s="65">
        <v>4000</v>
      </c>
      <c r="H95" s="306">
        <v>13500</v>
      </c>
      <c r="I95" s="303">
        <f t="shared" si="31"/>
        <v>13500</v>
      </c>
      <c r="J95" s="92">
        <v>12</v>
      </c>
      <c r="K95" s="520">
        <v>25</v>
      </c>
      <c r="L95" s="525">
        <v>25</v>
      </c>
      <c r="N95" s="6">
        <v>0</v>
      </c>
      <c r="O95" s="94">
        <f t="shared" si="32"/>
        <v>6.7408002596672585</v>
      </c>
      <c r="P95" s="94">
        <f t="shared" si="33"/>
        <v>17.975467359112692</v>
      </c>
      <c r="Q95" s="94">
        <f t="shared" si="34"/>
        <v>8.9877336795563458</v>
      </c>
      <c r="R95" s="94">
        <f t="shared" si="35"/>
        <v>8.9877336795563458</v>
      </c>
      <c r="S95" s="94">
        <f t="shared" si="36"/>
        <v>17.975467359112692</v>
      </c>
      <c r="U95" s="165">
        <f t="shared" si="37"/>
        <v>12</v>
      </c>
      <c r="V95" s="523">
        <f t="shared" si="38"/>
        <v>25</v>
      </c>
      <c r="W95" s="321">
        <f t="shared" si="39"/>
        <v>25</v>
      </c>
    </row>
    <row r="96" spans="1:23">
      <c r="A96" s="149" t="s">
        <v>524</v>
      </c>
      <c r="B96">
        <v>0</v>
      </c>
      <c r="C96" s="65">
        <v>3215</v>
      </c>
      <c r="D96" s="65">
        <v>9530</v>
      </c>
      <c r="E96" s="65">
        <v>3200</v>
      </c>
      <c r="F96" s="65">
        <v>6100</v>
      </c>
      <c r="G96" s="65">
        <v>2053</v>
      </c>
      <c r="H96" s="306">
        <v>24098</v>
      </c>
      <c r="I96" s="303">
        <f t="shared" si="31"/>
        <v>24098</v>
      </c>
      <c r="J96" s="92">
        <v>40</v>
      </c>
      <c r="K96" s="520">
        <v>50</v>
      </c>
      <c r="L96" s="525">
        <v>50</v>
      </c>
      <c r="N96" s="6">
        <v>0</v>
      </c>
      <c r="O96" s="94">
        <f t="shared" si="32"/>
        <v>14.447781889886825</v>
      </c>
      <c r="P96" s="94">
        <f t="shared" si="33"/>
        <v>42.826550983085987</v>
      </c>
      <c r="Q96" s="94">
        <f t="shared" si="34"/>
        <v>14.380373887290153</v>
      </c>
      <c r="R96" s="94">
        <f t="shared" si="35"/>
        <v>27.412587722646855</v>
      </c>
      <c r="S96" s="94">
        <f t="shared" si="36"/>
        <v>9.2259086220645887</v>
      </c>
      <c r="U96" s="165">
        <f t="shared" si="37"/>
        <v>40</v>
      </c>
      <c r="V96" s="523">
        <f t="shared" si="38"/>
        <v>50</v>
      </c>
      <c r="W96" s="321">
        <f t="shared" si="39"/>
        <v>50</v>
      </c>
    </row>
    <row r="97" spans="1:23">
      <c r="A97" s="149" t="s">
        <v>344</v>
      </c>
      <c r="B97">
        <v>0</v>
      </c>
      <c r="C97" s="65">
        <v>5000</v>
      </c>
      <c r="D97" s="65">
        <v>8000</v>
      </c>
      <c r="E97" s="65">
        <v>9500</v>
      </c>
      <c r="F97" s="65">
        <v>20000</v>
      </c>
      <c r="G97" s="65">
        <v>9500</v>
      </c>
      <c r="H97" s="306">
        <v>52000</v>
      </c>
      <c r="I97" s="303">
        <f t="shared" si="31"/>
        <v>52000</v>
      </c>
      <c r="J97" s="92">
        <v>81</v>
      </c>
      <c r="K97" s="520">
        <v>100</v>
      </c>
      <c r="L97" s="525">
        <v>100</v>
      </c>
      <c r="N97" s="6">
        <v>0</v>
      </c>
      <c r="O97" s="94">
        <f t="shared" si="32"/>
        <v>22.469334198890863</v>
      </c>
      <c r="P97" s="94">
        <f t="shared" si="33"/>
        <v>35.950934718225383</v>
      </c>
      <c r="Q97" s="94">
        <f t="shared" si="34"/>
        <v>42.691734977892636</v>
      </c>
      <c r="R97" s="94">
        <f t="shared" si="35"/>
        <v>89.877336795563451</v>
      </c>
      <c r="S97" s="94">
        <f t="shared" si="36"/>
        <v>42.691734977892636</v>
      </c>
      <c r="U97" s="165">
        <f t="shared" si="37"/>
        <v>81</v>
      </c>
      <c r="V97" s="523">
        <f t="shared" si="38"/>
        <v>100</v>
      </c>
      <c r="W97" s="321">
        <f t="shared" si="39"/>
        <v>100</v>
      </c>
    </row>
    <row r="98" spans="1:23" ht="15.75">
      <c r="A98" s="151" t="s">
        <v>521</v>
      </c>
      <c r="B98" s="142" t="s">
        <v>498</v>
      </c>
      <c r="C98" s="65">
        <v>9500</v>
      </c>
      <c r="D98" s="65">
        <v>8500</v>
      </c>
      <c r="E98" s="65">
        <v>12200</v>
      </c>
      <c r="F98" s="65">
        <v>10600</v>
      </c>
      <c r="G98" s="65">
        <v>13800</v>
      </c>
      <c r="H98" s="306">
        <v>54600</v>
      </c>
      <c r="I98" s="303">
        <f t="shared" si="31"/>
        <v>54600</v>
      </c>
      <c r="J98" s="92">
        <v>167</v>
      </c>
      <c r="K98" s="520">
        <v>500</v>
      </c>
      <c r="L98" s="525">
        <v>250</v>
      </c>
      <c r="N98" s="186">
        <v>36</v>
      </c>
      <c r="O98" s="94">
        <f t="shared" si="32"/>
        <v>1227447.369639924</v>
      </c>
      <c r="P98" s="94">
        <f t="shared" si="33"/>
        <v>1098242.3833620371</v>
      </c>
      <c r="Q98" s="94">
        <f t="shared" si="34"/>
        <v>1576300.8325902179</v>
      </c>
      <c r="R98" s="94">
        <f t="shared" si="35"/>
        <v>1369572.8545455993</v>
      </c>
      <c r="S98" s="94">
        <f t="shared" si="36"/>
        <v>1783028.8106348368</v>
      </c>
      <c r="U98" s="165">
        <f>N98*J98</f>
        <v>6012</v>
      </c>
      <c r="V98" s="523">
        <f>N98*K98</f>
        <v>18000</v>
      </c>
      <c r="W98" s="321">
        <f>N98*L98</f>
        <v>9000</v>
      </c>
    </row>
    <row r="99" spans="1:23">
      <c r="A99" s="151" t="s">
        <v>525</v>
      </c>
      <c r="B99">
        <v>30</v>
      </c>
      <c r="C99" s="65">
        <v>15000</v>
      </c>
      <c r="D99" s="65">
        <v>25000</v>
      </c>
      <c r="E99" s="65">
        <v>12000</v>
      </c>
      <c r="F99" s="65">
        <v>19000</v>
      </c>
      <c r="G99" s="65">
        <v>16000</v>
      </c>
      <c r="H99" s="306">
        <v>87000</v>
      </c>
      <c r="I99" s="303">
        <f t="shared" si="31"/>
        <v>87000</v>
      </c>
      <c r="J99" s="92">
        <v>116</v>
      </c>
      <c r="K99" s="520">
        <v>250</v>
      </c>
      <c r="L99" s="525">
        <v>100</v>
      </c>
      <c r="N99" s="186">
        <v>20</v>
      </c>
      <c r="O99" s="94">
        <f t="shared" si="32"/>
        <v>20218.283311110077</v>
      </c>
      <c r="P99" s="94">
        <f t="shared" si="33"/>
        <v>33697.138851850134</v>
      </c>
      <c r="Q99" s="94">
        <f t="shared" si="34"/>
        <v>16174.626648888063</v>
      </c>
      <c r="R99" s="94">
        <f t="shared" si="35"/>
        <v>25609.825527406101</v>
      </c>
      <c r="S99" s="94">
        <f t="shared" si="36"/>
        <v>21566.168865184081</v>
      </c>
      <c r="U99" s="165">
        <f>N99*J99</f>
        <v>2320</v>
      </c>
      <c r="V99" s="523">
        <f>N99*K99</f>
        <v>5000</v>
      </c>
      <c r="W99" s="321">
        <f>N99*L99</f>
        <v>2000</v>
      </c>
    </row>
    <row r="100" spans="1:23">
      <c r="A100" s="151" t="s">
        <v>526</v>
      </c>
      <c r="B100">
        <v>0</v>
      </c>
      <c r="C100" s="65">
        <v>2595</v>
      </c>
      <c r="D100" s="65">
        <v>1875</v>
      </c>
      <c r="E100" s="65">
        <v>3405</v>
      </c>
      <c r="F100" s="65">
        <v>2965</v>
      </c>
      <c r="G100" s="65">
        <v>2005</v>
      </c>
      <c r="H100" s="306">
        <v>12845</v>
      </c>
      <c r="I100" s="303">
        <f t="shared" si="31"/>
        <v>12845</v>
      </c>
      <c r="J100" s="92">
        <v>20</v>
      </c>
      <c r="K100" s="520">
        <v>20</v>
      </c>
      <c r="L100" s="525">
        <v>25</v>
      </c>
      <c r="N100" s="6">
        <v>0</v>
      </c>
      <c r="O100" s="94">
        <f t="shared" si="32"/>
        <v>11.661584449224359</v>
      </c>
      <c r="P100" s="94">
        <f t="shared" si="33"/>
        <v>8.4260003245840736</v>
      </c>
      <c r="Q100" s="94">
        <f t="shared" si="34"/>
        <v>15.301616589444677</v>
      </c>
      <c r="R100" s="94">
        <f t="shared" si="35"/>
        <v>13.324315179942282</v>
      </c>
      <c r="S100" s="94">
        <f t="shared" si="36"/>
        <v>9.0102030137552358</v>
      </c>
      <c r="U100" s="165">
        <f>(N100+1)*J100</f>
        <v>20</v>
      </c>
      <c r="V100" s="523">
        <f>(N100+1)*K100</f>
        <v>20</v>
      </c>
      <c r="W100" s="321">
        <f>(N100+1)*L100</f>
        <v>25</v>
      </c>
    </row>
    <row r="101" spans="1:23">
      <c r="A101" s="149" t="s">
        <v>383</v>
      </c>
      <c r="B101">
        <v>0</v>
      </c>
      <c r="C101" s="65">
        <v>3520</v>
      </c>
      <c r="D101" s="65">
        <v>2300</v>
      </c>
      <c r="E101" s="65">
        <v>2450</v>
      </c>
      <c r="F101" s="65">
        <v>3120</v>
      </c>
      <c r="G101" s="65">
        <v>2405</v>
      </c>
      <c r="H101" s="306">
        <v>13795</v>
      </c>
      <c r="I101" s="303">
        <f t="shared" si="31"/>
        <v>13795</v>
      </c>
      <c r="J101" s="92">
        <v>22</v>
      </c>
      <c r="K101" s="520">
        <v>25</v>
      </c>
      <c r="L101" s="525">
        <v>25</v>
      </c>
      <c r="N101" s="6">
        <v>0</v>
      </c>
      <c r="O101" s="94">
        <f t="shared" si="32"/>
        <v>15.818411276019168</v>
      </c>
      <c r="P101" s="94">
        <f t="shared" si="33"/>
        <v>10.335893731489797</v>
      </c>
      <c r="Q101" s="94">
        <f t="shared" si="34"/>
        <v>11.009973757456523</v>
      </c>
      <c r="R101" s="94">
        <f t="shared" si="35"/>
        <v>14.020864540107899</v>
      </c>
      <c r="S101" s="94">
        <f t="shared" si="36"/>
        <v>10.807749749666506</v>
      </c>
      <c r="U101" s="165">
        <f>(N101+1)*J101</f>
        <v>22</v>
      </c>
      <c r="V101" s="523">
        <f>(N101+1)*K101</f>
        <v>25</v>
      </c>
      <c r="W101" s="321">
        <f>(N101+1)*L101</f>
        <v>25</v>
      </c>
    </row>
    <row r="102" spans="1:23" ht="15.75">
      <c r="A102" s="149" t="s">
        <v>315</v>
      </c>
      <c r="B102" s="142" t="s">
        <v>498</v>
      </c>
      <c r="C102" s="65">
        <v>5400</v>
      </c>
      <c r="D102" s="65">
        <v>6800</v>
      </c>
      <c r="E102" s="65">
        <v>4800</v>
      </c>
      <c r="F102" s="65">
        <v>6700</v>
      </c>
      <c r="G102" s="65">
        <v>5500</v>
      </c>
      <c r="H102" s="306">
        <v>29200</v>
      </c>
      <c r="I102" s="303">
        <f t="shared" si="31"/>
        <v>29200</v>
      </c>
      <c r="J102" s="92">
        <v>12</v>
      </c>
      <c r="K102" s="520">
        <v>50</v>
      </c>
      <c r="L102" s="525">
        <v>50</v>
      </c>
      <c r="N102" s="186">
        <v>30</v>
      </c>
      <c r="O102" s="94">
        <f t="shared" si="32"/>
        <v>126055.90313790058</v>
      </c>
      <c r="P102" s="94">
        <f t="shared" si="33"/>
        <v>158737.06321068961</v>
      </c>
      <c r="Q102" s="94">
        <f t="shared" si="34"/>
        <v>112049.69167813384</v>
      </c>
      <c r="R102" s="94">
        <f t="shared" si="35"/>
        <v>156402.69463406186</v>
      </c>
      <c r="S102" s="94">
        <f t="shared" si="36"/>
        <v>128390.27171452837</v>
      </c>
      <c r="U102" s="165">
        <f>N102*J102</f>
        <v>360</v>
      </c>
      <c r="V102" s="523">
        <f>N102*K102</f>
        <v>1500</v>
      </c>
      <c r="W102" s="321">
        <f>N102*L102</f>
        <v>1500</v>
      </c>
    </row>
    <row r="103" spans="1:23">
      <c r="A103" s="149" t="s">
        <v>137</v>
      </c>
      <c r="B103">
        <v>0</v>
      </c>
      <c r="C103" s="65">
        <v>4260</v>
      </c>
      <c r="D103" s="65">
        <v>3120</v>
      </c>
      <c r="E103" s="65">
        <v>4520</v>
      </c>
      <c r="F103" s="65">
        <v>2300</v>
      </c>
      <c r="G103" s="65">
        <v>4545</v>
      </c>
      <c r="H103" s="306">
        <v>18745</v>
      </c>
      <c r="I103" s="303">
        <f t="shared" si="31"/>
        <v>18745</v>
      </c>
      <c r="J103" s="92">
        <v>31</v>
      </c>
      <c r="K103" s="520">
        <v>50</v>
      </c>
      <c r="L103" s="525">
        <v>50</v>
      </c>
      <c r="N103" s="6">
        <v>0</v>
      </c>
      <c r="O103" s="94">
        <f t="shared" si="32"/>
        <v>19.143872737455016</v>
      </c>
      <c r="P103" s="94">
        <f t="shared" si="33"/>
        <v>14.020864540107899</v>
      </c>
      <c r="Q103" s="94">
        <f t="shared" si="34"/>
        <v>20.312278115797341</v>
      </c>
      <c r="R103" s="94">
        <f t="shared" si="35"/>
        <v>10.335893731489797</v>
      </c>
      <c r="S103" s="94">
        <f t="shared" si="36"/>
        <v>20.424624786791796</v>
      </c>
      <c r="U103" s="165">
        <f>(N103+1)*J103</f>
        <v>31</v>
      </c>
      <c r="V103" s="523">
        <f>(N103+1)*K103</f>
        <v>50</v>
      </c>
      <c r="W103" s="321">
        <f>(N103+1)*L103</f>
        <v>50</v>
      </c>
    </row>
    <row r="104" spans="1:23" ht="15.75">
      <c r="A104" s="149" t="s">
        <v>207</v>
      </c>
      <c r="B104" s="142" t="s">
        <v>498</v>
      </c>
      <c r="C104" s="65">
        <v>13600</v>
      </c>
      <c r="D104" s="65">
        <v>7300</v>
      </c>
      <c r="E104" s="65">
        <v>8700</v>
      </c>
      <c r="F104" s="65">
        <v>4900</v>
      </c>
      <c r="G104" s="65">
        <v>18300</v>
      </c>
      <c r="H104" s="306">
        <v>52800</v>
      </c>
      <c r="I104" s="303">
        <f t="shared" si="31"/>
        <v>52800</v>
      </c>
      <c r="J104" s="92">
        <v>15</v>
      </c>
      <c r="K104" s="520">
        <v>75</v>
      </c>
      <c r="L104" s="525">
        <v>50</v>
      </c>
      <c r="N104" s="186">
        <v>28</v>
      </c>
      <c r="O104" s="94">
        <f t="shared" si="32"/>
        <v>179475.45164869644</v>
      </c>
      <c r="P104" s="94">
        <f t="shared" si="33"/>
        <v>96336.088017315022</v>
      </c>
      <c r="Q104" s="94">
        <f t="shared" si="34"/>
        <v>114811.502157622</v>
      </c>
      <c r="R104" s="94">
        <f t="shared" si="35"/>
        <v>64663.949491074462</v>
      </c>
      <c r="S104" s="94">
        <f t="shared" si="36"/>
        <v>241500.0562625842</v>
      </c>
      <c r="U104" s="165">
        <f>N104*J104</f>
        <v>420</v>
      </c>
      <c r="V104" s="523">
        <f>N104*K104</f>
        <v>2100</v>
      </c>
      <c r="W104" s="321">
        <f>N104*L104</f>
        <v>1400</v>
      </c>
    </row>
    <row r="105" spans="1:23">
      <c r="A105" s="149" t="s">
        <v>212</v>
      </c>
      <c r="B105">
        <v>0</v>
      </c>
      <c r="C105" s="65">
        <v>6430</v>
      </c>
      <c r="D105" s="65">
        <v>7430</v>
      </c>
      <c r="E105" s="65">
        <v>3545</v>
      </c>
      <c r="F105" s="65">
        <v>2455</v>
      </c>
      <c r="G105" s="65">
        <v>3735</v>
      </c>
      <c r="H105" s="306">
        <v>23595</v>
      </c>
      <c r="I105" s="303">
        <f t="shared" si="31"/>
        <v>23595</v>
      </c>
      <c r="J105" s="92">
        <v>100</v>
      </c>
      <c r="K105" s="520">
        <v>100</v>
      </c>
      <c r="L105" s="525">
        <v>100</v>
      </c>
      <c r="N105" s="6">
        <v>0</v>
      </c>
      <c r="O105" s="94">
        <f t="shared" si="32"/>
        <v>28.895563779773649</v>
      </c>
      <c r="P105" s="94">
        <f t="shared" si="33"/>
        <v>33.389430619551824</v>
      </c>
      <c r="Q105" s="94">
        <f t="shared" si="34"/>
        <v>15.930757947013621</v>
      </c>
      <c r="R105" s="94">
        <f t="shared" si="35"/>
        <v>11.032443091655415</v>
      </c>
      <c r="S105" s="94">
        <f t="shared" si="36"/>
        <v>16.784592646571475</v>
      </c>
      <c r="U105" s="165">
        <f>(N105+1)*J105</f>
        <v>100</v>
      </c>
      <c r="V105" s="523">
        <f>(N105+1)*K105</f>
        <v>100</v>
      </c>
      <c r="W105" s="321">
        <f>(N105+1)*L105</f>
        <v>100</v>
      </c>
    </row>
    <row r="106" spans="1:23" ht="15.75">
      <c r="A106" s="149" t="s">
        <v>241</v>
      </c>
      <c r="B106" s="142" t="s">
        <v>498</v>
      </c>
      <c r="C106" s="65">
        <v>7000</v>
      </c>
      <c r="D106" s="65">
        <v>14000</v>
      </c>
      <c r="E106" s="65">
        <v>2860</v>
      </c>
      <c r="F106" s="65">
        <v>2100</v>
      </c>
      <c r="G106" s="65">
        <v>12555</v>
      </c>
      <c r="H106" s="306">
        <v>38515</v>
      </c>
      <c r="I106" s="303">
        <f t="shared" si="31"/>
        <v>38515</v>
      </c>
      <c r="J106" s="92">
        <v>21</v>
      </c>
      <c r="K106" s="520">
        <v>75</v>
      </c>
      <c r="L106" s="525">
        <v>50</v>
      </c>
      <c r="N106" s="186">
        <v>28</v>
      </c>
      <c r="O106" s="94">
        <f t="shared" si="32"/>
        <v>92377.070701534947</v>
      </c>
      <c r="P106" s="94">
        <f t="shared" si="33"/>
        <v>184754.14140306989</v>
      </c>
      <c r="Q106" s="94">
        <f t="shared" si="34"/>
        <v>37742.631743769991</v>
      </c>
      <c r="R106" s="94">
        <f t="shared" si="35"/>
        <v>27713.121210460486</v>
      </c>
      <c r="S106" s="94">
        <f t="shared" si="36"/>
        <v>165684.87466539591</v>
      </c>
      <c r="U106" s="165">
        <f>N106*J106</f>
        <v>588</v>
      </c>
      <c r="V106" s="523">
        <f>N106*K106</f>
        <v>2100</v>
      </c>
      <c r="W106" s="321">
        <f>N106*L106</f>
        <v>1400</v>
      </c>
    </row>
    <row r="107" spans="1:23" ht="15.75">
      <c r="A107" s="149" t="s">
        <v>358</v>
      </c>
      <c r="B107" s="142" t="s">
        <v>498</v>
      </c>
      <c r="C107" s="65">
        <v>8020</v>
      </c>
      <c r="D107" s="65">
        <v>4000</v>
      </c>
      <c r="E107" s="65">
        <v>6205</v>
      </c>
      <c r="F107" s="65">
        <v>4015</v>
      </c>
      <c r="G107" s="65">
        <v>3200</v>
      </c>
      <c r="H107" s="306">
        <v>25440</v>
      </c>
      <c r="I107" s="303">
        <f t="shared" si="31"/>
        <v>25440</v>
      </c>
      <c r="J107" s="92">
        <v>10</v>
      </c>
      <c r="K107" s="520">
        <v>50</v>
      </c>
      <c r="L107" s="525">
        <v>25</v>
      </c>
      <c r="N107" s="186">
        <v>30</v>
      </c>
      <c r="O107" s="94">
        <f t="shared" si="32"/>
        <v>187216.35984554866</v>
      </c>
      <c r="P107" s="94">
        <f t="shared" si="33"/>
        <v>93374.743065111543</v>
      </c>
      <c r="Q107" s="94">
        <f t="shared" si="34"/>
        <v>144847.57017975429</v>
      </c>
      <c r="R107" s="94">
        <f t="shared" si="35"/>
        <v>93724.898351605705</v>
      </c>
      <c r="S107" s="94">
        <f t="shared" si="36"/>
        <v>74699.794452089234</v>
      </c>
      <c r="U107" s="165">
        <f>N107*J107</f>
        <v>300</v>
      </c>
      <c r="V107" s="523">
        <f>N107*K107</f>
        <v>1500</v>
      </c>
      <c r="W107" s="321">
        <f>N107*L107</f>
        <v>750</v>
      </c>
    </row>
    <row r="108" spans="1:23" ht="15.75">
      <c r="A108" s="149" t="s">
        <v>181</v>
      </c>
      <c r="B108" s="142" t="s">
        <v>498</v>
      </c>
      <c r="C108" s="65">
        <v>4801</v>
      </c>
      <c r="D108" s="65">
        <v>6325</v>
      </c>
      <c r="E108" s="65">
        <v>1450</v>
      </c>
      <c r="F108" s="65">
        <v>655</v>
      </c>
      <c r="G108" s="65">
        <v>4776</v>
      </c>
      <c r="H108" s="306">
        <v>18007</v>
      </c>
      <c r="I108" s="303">
        <f t="shared" si="31"/>
        <v>18007</v>
      </c>
      <c r="J108" s="92">
        <v>6</v>
      </c>
      <c r="K108" s="520">
        <v>25</v>
      </c>
      <c r="L108" s="525">
        <v>10</v>
      </c>
      <c r="N108" s="186">
        <v>31</v>
      </c>
      <c r="O108" s="94">
        <f t="shared" si="32"/>
        <v>149057.13703398712</v>
      </c>
      <c r="P108" s="94">
        <f t="shared" si="33"/>
        <v>196372.9205873711</v>
      </c>
      <c r="Q108" s="94">
        <f t="shared" si="34"/>
        <v>45018.298000266892</v>
      </c>
      <c r="R108" s="94">
        <f t="shared" si="35"/>
        <v>20335.851855292978</v>
      </c>
      <c r="S108" s="94">
        <f t="shared" si="36"/>
        <v>148280.95948225839</v>
      </c>
      <c r="U108" s="165">
        <f>N108*J108</f>
        <v>186</v>
      </c>
      <c r="V108" s="523">
        <f>N108*K108</f>
        <v>775</v>
      </c>
      <c r="W108" s="321">
        <f>N108*L108</f>
        <v>310</v>
      </c>
    </row>
    <row r="109" spans="1:23" ht="15.75">
      <c r="A109" s="149" t="s">
        <v>112</v>
      </c>
      <c r="B109" s="142" t="s">
        <v>498</v>
      </c>
      <c r="C109" s="65">
        <v>2012</v>
      </c>
      <c r="D109" s="65">
        <v>5210</v>
      </c>
      <c r="E109" s="65">
        <v>3111</v>
      </c>
      <c r="F109" s="65">
        <v>3922</v>
      </c>
      <c r="G109" s="65">
        <v>6020</v>
      </c>
      <c r="H109" s="306">
        <v>20275</v>
      </c>
      <c r="I109" s="303">
        <f t="shared" si="31"/>
        <v>20275</v>
      </c>
      <c r="J109" s="92">
        <v>7</v>
      </c>
      <c r="K109" s="520">
        <v>25</v>
      </c>
      <c r="L109" s="525">
        <v>25</v>
      </c>
      <c r="N109" s="186">
        <v>29</v>
      </c>
      <c r="O109" s="94">
        <f t="shared" si="32"/>
        <v>35313.906587782789</v>
      </c>
      <c r="P109" s="94">
        <f t="shared" si="33"/>
        <v>91444.062287449473</v>
      </c>
      <c r="Q109" s="94">
        <f t="shared" si="34"/>
        <v>54603.162720970307</v>
      </c>
      <c r="R109" s="94">
        <f t="shared" si="35"/>
        <v>68837.545545369823</v>
      </c>
      <c r="S109" s="94">
        <f t="shared" si="36"/>
        <v>105660.8934684157</v>
      </c>
      <c r="U109" s="165">
        <f>N109*J109</f>
        <v>203</v>
      </c>
      <c r="V109" s="523">
        <f>N109*K109</f>
        <v>725</v>
      </c>
      <c r="W109" s="321">
        <f>N109*L109</f>
        <v>725</v>
      </c>
    </row>
    <row r="110" spans="1:23">
      <c r="A110" s="151" t="s">
        <v>527</v>
      </c>
      <c r="B110">
        <v>0</v>
      </c>
      <c r="C110" s="65">
        <v>2845</v>
      </c>
      <c r="D110" s="65">
        <v>2745</v>
      </c>
      <c r="E110" s="65">
        <v>1935</v>
      </c>
      <c r="F110" s="65">
        <v>2685</v>
      </c>
      <c r="G110" s="65">
        <v>1450</v>
      </c>
      <c r="H110" s="306">
        <v>11660</v>
      </c>
      <c r="I110" s="303">
        <f t="shared" si="31"/>
        <v>11660</v>
      </c>
      <c r="J110" s="92">
        <v>19</v>
      </c>
      <c r="K110" s="520">
        <v>20</v>
      </c>
      <c r="L110" s="525">
        <v>25</v>
      </c>
      <c r="N110" s="6">
        <v>0</v>
      </c>
      <c r="O110" s="94">
        <f t="shared" si="32"/>
        <v>12.785051159168901</v>
      </c>
      <c r="P110" s="94">
        <f t="shared" si="33"/>
        <v>12.335664475191084</v>
      </c>
      <c r="Q110" s="94">
        <f t="shared" si="34"/>
        <v>8.6956323349707638</v>
      </c>
      <c r="R110" s="94">
        <f t="shared" si="35"/>
        <v>12.066032464804394</v>
      </c>
      <c r="S110" s="94">
        <f t="shared" si="36"/>
        <v>6.5161069176783499</v>
      </c>
      <c r="U110" s="165">
        <f>(N110+1)*J110</f>
        <v>19</v>
      </c>
      <c r="V110" s="523">
        <f>(N110+1)*K110</f>
        <v>20</v>
      </c>
      <c r="W110" s="321">
        <f>(N110+1)*L110</f>
        <v>25</v>
      </c>
    </row>
    <row r="111" spans="1:23">
      <c r="A111" s="149" t="s">
        <v>93</v>
      </c>
      <c r="B111">
        <v>0</v>
      </c>
      <c r="C111" s="65">
        <v>2595</v>
      </c>
      <c r="D111" s="65">
        <v>1950</v>
      </c>
      <c r="E111" s="65">
        <v>2395</v>
      </c>
      <c r="F111" s="65">
        <v>1115</v>
      </c>
      <c r="G111" s="65">
        <v>955</v>
      </c>
      <c r="H111" s="306">
        <v>9010</v>
      </c>
      <c r="I111" s="303">
        <f t="shared" si="31"/>
        <v>9010</v>
      </c>
      <c r="J111" s="92">
        <v>15</v>
      </c>
      <c r="K111" s="520">
        <v>25</v>
      </c>
      <c r="L111" s="525">
        <v>25</v>
      </c>
      <c r="N111" s="6">
        <v>0</v>
      </c>
      <c r="O111" s="94">
        <f t="shared" si="32"/>
        <v>11.661584449224359</v>
      </c>
      <c r="P111" s="94">
        <f t="shared" si="33"/>
        <v>8.7630403375674373</v>
      </c>
      <c r="Q111" s="94">
        <f t="shared" si="34"/>
        <v>10.762811081268723</v>
      </c>
      <c r="R111" s="94">
        <f t="shared" si="35"/>
        <v>5.0106615263526626</v>
      </c>
      <c r="S111" s="94">
        <f t="shared" si="36"/>
        <v>4.2916428319881552</v>
      </c>
      <c r="U111" s="165">
        <f>(N111+1)*J111</f>
        <v>15</v>
      </c>
      <c r="V111" s="523">
        <f>(N111+1)*K111</f>
        <v>25</v>
      </c>
      <c r="W111" s="321">
        <f>(N111+1)*L111</f>
        <v>25</v>
      </c>
    </row>
    <row r="112" spans="1:23">
      <c r="A112" s="149" t="s">
        <v>221</v>
      </c>
      <c r="B112">
        <v>0</v>
      </c>
      <c r="C112" s="65">
        <v>4850</v>
      </c>
      <c r="D112" s="65">
        <v>6450</v>
      </c>
      <c r="E112" s="65">
        <v>3850</v>
      </c>
      <c r="F112" s="65">
        <v>4500</v>
      </c>
      <c r="G112" s="65">
        <v>3590</v>
      </c>
      <c r="H112" s="306">
        <v>23240</v>
      </c>
      <c r="I112" s="303">
        <f t="shared" si="31"/>
        <v>23240</v>
      </c>
      <c r="J112" s="92">
        <v>39</v>
      </c>
      <c r="K112" s="520">
        <v>50</v>
      </c>
      <c r="L112" s="525">
        <v>50</v>
      </c>
      <c r="N112" s="6">
        <v>0</v>
      </c>
      <c r="O112" s="94">
        <f t="shared" si="32"/>
        <v>21.795254172924139</v>
      </c>
      <c r="P112" s="94">
        <f t="shared" si="33"/>
        <v>28.985441116569213</v>
      </c>
      <c r="Q112" s="94">
        <f t="shared" si="34"/>
        <v>17.301387333145964</v>
      </c>
      <c r="R112" s="94">
        <f t="shared" si="35"/>
        <v>20.222400779001777</v>
      </c>
      <c r="S112" s="94">
        <f t="shared" si="36"/>
        <v>16.13298195480364</v>
      </c>
      <c r="U112" s="165">
        <f>(N112+1)*J112</f>
        <v>39</v>
      </c>
      <c r="V112" s="523">
        <f>(N112+1)*K112</f>
        <v>50</v>
      </c>
      <c r="W112" s="321">
        <f>(N112+1)*L112</f>
        <v>50</v>
      </c>
    </row>
    <row r="113" spans="1:23" ht="15.75">
      <c r="A113" s="149" t="s">
        <v>320</v>
      </c>
      <c r="B113" s="142" t="s">
        <v>498</v>
      </c>
      <c r="C113" s="65">
        <v>8660</v>
      </c>
      <c r="D113" s="65">
        <v>4200</v>
      </c>
      <c r="E113" s="65">
        <v>4420</v>
      </c>
      <c r="F113" s="65">
        <v>9200</v>
      </c>
      <c r="G113" s="65">
        <v>10200</v>
      </c>
      <c r="H113" s="306">
        <v>36680</v>
      </c>
      <c r="I113" s="303">
        <f t="shared" si="31"/>
        <v>36680</v>
      </c>
      <c r="J113" s="92">
        <v>15</v>
      </c>
      <c r="K113" s="520">
        <v>75</v>
      </c>
      <c r="L113" s="525">
        <v>50</v>
      </c>
      <c r="N113" s="186">
        <v>27</v>
      </c>
      <c r="O113" s="94">
        <f t="shared" si="32"/>
        <v>85927.543746003488</v>
      </c>
      <c r="P113" s="94">
        <f t="shared" si="33"/>
        <v>41673.866481895449</v>
      </c>
      <c r="Q113" s="94">
        <f t="shared" si="34"/>
        <v>43856.783297613787</v>
      </c>
      <c r="R113" s="94">
        <f t="shared" si="35"/>
        <v>91285.61229367576</v>
      </c>
      <c r="S113" s="94">
        <f t="shared" si="36"/>
        <v>101207.96145603183</v>
      </c>
      <c r="U113" s="165">
        <f>N113*J113</f>
        <v>405</v>
      </c>
      <c r="V113" s="523">
        <f>N113*K113</f>
        <v>2025</v>
      </c>
      <c r="W113" s="321">
        <f>N113*L113</f>
        <v>1350</v>
      </c>
    </row>
    <row r="114" spans="1:23" ht="15.75">
      <c r="A114" s="149" t="s">
        <v>342</v>
      </c>
      <c r="B114" s="142" t="s">
        <v>498</v>
      </c>
      <c r="C114" s="65">
        <v>25200</v>
      </c>
      <c r="D114" s="65">
        <v>22200</v>
      </c>
      <c r="E114" s="65">
        <v>14250</v>
      </c>
      <c r="F114" s="65">
        <v>18650</v>
      </c>
      <c r="G114" s="65">
        <v>19550</v>
      </c>
      <c r="H114" s="306">
        <v>99850</v>
      </c>
      <c r="I114" s="303">
        <f t="shared" si="31"/>
        <v>99850</v>
      </c>
      <c r="J114" s="92">
        <v>34</v>
      </c>
      <c r="K114" s="520">
        <v>75</v>
      </c>
      <c r="L114" s="525">
        <v>50</v>
      </c>
      <c r="N114" s="186">
        <v>25</v>
      </c>
      <c r="O114" s="94">
        <f t="shared" si="32"/>
        <v>141355.1918657769</v>
      </c>
      <c r="P114" s="94">
        <f t="shared" si="33"/>
        <v>124527.19283413679</v>
      </c>
      <c r="Q114" s="94">
        <f t="shared" si="34"/>
        <v>79932.9954002905</v>
      </c>
      <c r="R114" s="94">
        <f t="shared" si="35"/>
        <v>104614.060646696</v>
      </c>
      <c r="S114" s="94">
        <f t="shared" si="36"/>
        <v>109662.46035618804</v>
      </c>
      <c r="U114" s="165">
        <f>N114*J114</f>
        <v>850</v>
      </c>
      <c r="V114" s="523">
        <f>N114*K114</f>
        <v>1875</v>
      </c>
      <c r="W114" s="321">
        <f>N114*L114</f>
        <v>1250</v>
      </c>
    </row>
    <row r="115" spans="1:23">
      <c r="A115" s="149" t="s">
        <v>227</v>
      </c>
      <c r="B115">
        <v>0</v>
      </c>
      <c r="C115" s="65">
        <v>7420</v>
      </c>
      <c r="D115" s="65">
        <v>5430</v>
      </c>
      <c r="E115" s="65">
        <v>3545</v>
      </c>
      <c r="F115" s="65">
        <v>2455</v>
      </c>
      <c r="G115" s="65">
        <v>6735</v>
      </c>
      <c r="H115" s="306">
        <v>25585</v>
      </c>
      <c r="I115" s="303">
        <f t="shared" si="31"/>
        <v>25585</v>
      </c>
      <c r="J115" s="92">
        <v>44</v>
      </c>
      <c r="K115" s="520">
        <v>100</v>
      </c>
      <c r="L115" s="525">
        <v>100</v>
      </c>
      <c r="N115" s="6">
        <v>0</v>
      </c>
      <c r="O115" s="94">
        <f t="shared" si="32"/>
        <v>33.344491951154041</v>
      </c>
      <c r="P115" s="94">
        <f t="shared" si="33"/>
        <v>24.401696939995478</v>
      </c>
      <c r="Q115" s="94">
        <f t="shared" si="34"/>
        <v>15.930757947013621</v>
      </c>
      <c r="R115" s="94">
        <f t="shared" si="35"/>
        <v>11.032443091655415</v>
      </c>
      <c r="S115" s="94">
        <f t="shared" si="36"/>
        <v>30.266193165905992</v>
      </c>
      <c r="U115" s="165">
        <f>(N115+1)*J115</f>
        <v>44</v>
      </c>
      <c r="V115" s="523">
        <f>(N115+1)*K115</f>
        <v>100</v>
      </c>
      <c r="W115" s="321">
        <f>(N115+1)*L115</f>
        <v>100</v>
      </c>
    </row>
    <row r="116" spans="1:23" ht="15.75">
      <c r="A116" s="149" t="s">
        <v>210</v>
      </c>
      <c r="B116" s="142" t="s">
        <v>498</v>
      </c>
      <c r="C116" s="65">
        <v>9300</v>
      </c>
      <c r="D116" s="65">
        <v>9500</v>
      </c>
      <c r="E116" s="65">
        <v>19200</v>
      </c>
      <c r="F116" s="65">
        <v>14000</v>
      </c>
      <c r="G116" s="65">
        <v>10200</v>
      </c>
      <c r="H116" s="306">
        <v>62200</v>
      </c>
      <c r="I116" s="303">
        <f t="shared" si="31"/>
        <v>62200</v>
      </c>
      <c r="J116" s="92">
        <v>20</v>
      </c>
      <c r="K116" s="520">
        <v>75</v>
      </c>
      <c r="L116" s="525">
        <v>50</v>
      </c>
      <c r="N116" s="186">
        <v>27</v>
      </c>
      <c r="O116" s="94">
        <f t="shared" si="32"/>
        <v>92277.847209911357</v>
      </c>
      <c r="P116" s="94">
        <f t="shared" si="33"/>
        <v>94262.31704238258</v>
      </c>
      <c r="Q116" s="94">
        <f t="shared" si="34"/>
        <v>190509.10391723635</v>
      </c>
      <c r="R116" s="94">
        <f t="shared" si="35"/>
        <v>138912.88827298486</v>
      </c>
      <c r="S116" s="94">
        <f t="shared" si="36"/>
        <v>101207.96145603183</v>
      </c>
      <c r="U116" s="165">
        <f t="shared" ref="U116:U122" si="40">N116*J116</f>
        <v>540</v>
      </c>
      <c r="V116" s="523">
        <f t="shared" ref="V116:V122" si="41">N116*K116</f>
        <v>2025</v>
      </c>
      <c r="W116" s="321">
        <f>N116*L116</f>
        <v>1350</v>
      </c>
    </row>
    <row r="117" spans="1:23" ht="15.75">
      <c r="A117" s="149" t="s">
        <v>217</v>
      </c>
      <c r="B117" s="142" t="s">
        <v>498</v>
      </c>
      <c r="C117" s="65">
        <v>4020</v>
      </c>
      <c r="D117" s="65">
        <v>8500</v>
      </c>
      <c r="E117" s="65">
        <v>6200</v>
      </c>
      <c r="F117" s="65">
        <v>4900</v>
      </c>
      <c r="G117" s="65">
        <v>1050</v>
      </c>
      <c r="H117" s="306">
        <v>24670</v>
      </c>
      <c r="I117" s="303">
        <f t="shared" si="31"/>
        <v>24670</v>
      </c>
      <c r="J117" s="92">
        <v>12</v>
      </c>
      <c r="K117" s="520">
        <v>50</v>
      </c>
      <c r="L117" s="525">
        <v>25</v>
      </c>
      <c r="N117" s="186">
        <v>29</v>
      </c>
      <c r="O117" s="94">
        <f t="shared" si="32"/>
        <v>70557.60660183242</v>
      </c>
      <c r="P117" s="94">
        <f t="shared" si="33"/>
        <v>149188.969182979</v>
      </c>
      <c r="Q117" s="94">
        <f t="shared" si="34"/>
        <v>108820.1892864082</v>
      </c>
      <c r="R117" s="94">
        <f t="shared" si="35"/>
        <v>86003.052823129052</v>
      </c>
      <c r="S117" s="94">
        <f t="shared" si="36"/>
        <v>18429.225604956227</v>
      </c>
      <c r="U117" s="165">
        <f t="shared" si="40"/>
        <v>348</v>
      </c>
      <c r="V117" s="523">
        <f t="shared" si="41"/>
        <v>1450</v>
      </c>
      <c r="W117" s="321">
        <f t="shared" ref="W117:W122" si="42">N117*L117</f>
        <v>725</v>
      </c>
    </row>
    <row r="118" spans="1:23" ht="15.75">
      <c r="A118" s="149" t="s">
        <v>270</v>
      </c>
      <c r="B118" s="142" t="s">
        <v>498</v>
      </c>
      <c r="C118" s="65">
        <v>4020</v>
      </c>
      <c r="D118" s="65">
        <v>14600</v>
      </c>
      <c r="E118" s="65">
        <v>12200</v>
      </c>
      <c r="F118" s="65">
        <v>8620</v>
      </c>
      <c r="G118" s="65">
        <v>9500</v>
      </c>
      <c r="H118" s="306">
        <v>48940</v>
      </c>
      <c r="I118" s="303">
        <f t="shared" si="31"/>
        <v>48940</v>
      </c>
      <c r="J118" s="92">
        <v>23</v>
      </c>
      <c r="K118" s="520">
        <v>50</v>
      </c>
      <c r="L118" s="525">
        <v>25</v>
      </c>
      <c r="N118" s="186">
        <v>27</v>
      </c>
      <c r="O118" s="94">
        <f t="shared" si="32"/>
        <v>39887.843632671364</v>
      </c>
      <c r="P118" s="94">
        <f t="shared" si="33"/>
        <v>144866.29777039849</v>
      </c>
      <c r="Q118" s="94">
        <f t="shared" si="34"/>
        <v>121052.65978074394</v>
      </c>
      <c r="R118" s="94">
        <f t="shared" si="35"/>
        <v>85530.649779509244</v>
      </c>
      <c r="S118" s="94">
        <f t="shared" si="36"/>
        <v>94262.31704238258</v>
      </c>
      <c r="U118" s="165">
        <f t="shared" si="40"/>
        <v>621</v>
      </c>
      <c r="V118" s="523">
        <f t="shared" si="41"/>
        <v>1350</v>
      </c>
      <c r="W118" s="321">
        <f t="shared" si="42"/>
        <v>675</v>
      </c>
    </row>
    <row r="119" spans="1:23" ht="15.75">
      <c r="A119" s="149" t="s">
        <v>219</v>
      </c>
      <c r="B119" s="142" t="s">
        <v>498</v>
      </c>
      <c r="C119" s="65">
        <v>3200</v>
      </c>
      <c r="D119" s="65">
        <v>5000</v>
      </c>
      <c r="E119" s="65">
        <v>11200</v>
      </c>
      <c r="F119" s="65">
        <v>8700</v>
      </c>
      <c r="G119" s="65">
        <v>6100</v>
      </c>
      <c r="H119" s="306">
        <v>34200</v>
      </c>
      <c r="I119" s="303">
        <f t="shared" si="31"/>
        <v>34200</v>
      </c>
      <c r="J119" s="92">
        <v>12</v>
      </c>
      <c r="K119" s="520">
        <v>50</v>
      </c>
      <c r="L119" s="525">
        <v>25</v>
      </c>
      <c r="N119" s="186">
        <v>30</v>
      </c>
      <c r="O119" s="94">
        <f t="shared" si="32"/>
        <v>74699.794452089234</v>
      </c>
      <c r="P119" s="94">
        <f t="shared" si="33"/>
        <v>116718.42883138942</v>
      </c>
      <c r="Q119" s="94">
        <f t="shared" si="34"/>
        <v>261449.28058231232</v>
      </c>
      <c r="R119" s="94">
        <f t="shared" si="35"/>
        <v>203090.06616661762</v>
      </c>
      <c r="S119" s="94">
        <f t="shared" si="36"/>
        <v>142396.48317429511</v>
      </c>
      <c r="U119" s="165">
        <f t="shared" si="40"/>
        <v>360</v>
      </c>
      <c r="V119" s="523">
        <f t="shared" si="41"/>
        <v>1500</v>
      </c>
      <c r="W119" s="321">
        <f t="shared" si="42"/>
        <v>750</v>
      </c>
    </row>
    <row r="120" spans="1:23" ht="15.75">
      <c r="A120" s="149" t="s">
        <v>528</v>
      </c>
      <c r="B120" s="142" t="s">
        <v>498</v>
      </c>
      <c r="C120" s="65">
        <v>3102</v>
      </c>
      <c r="D120" s="65">
        <v>1922</v>
      </c>
      <c r="E120" s="65">
        <v>4566</v>
      </c>
      <c r="F120" s="65">
        <v>6223</v>
      </c>
      <c r="G120" s="65">
        <v>3622</v>
      </c>
      <c r="H120" s="306">
        <v>19435</v>
      </c>
      <c r="I120" s="303">
        <f t="shared" si="31"/>
        <v>19435</v>
      </c>
      <c r="J120" s="92">
        <v>6</v>
      </c>
      <c r="K120" s="520">
        <v>25</v>
      </c>
      <c r="L120" s="525">
        <v>10</v>
      </c>
      <c r="N120" s="186">
        <v>31</v>
      </c>
      <c r="O120" s="94">
        <f t="shared" si="32"/>
        <v>96308.110618502003</v>
      </c>
      <c r="P120" s="94">
        <f t="shared" si="33"/>
        <v>59672.530176905493</v>
      </c>
      <c r="Q120" s="94">
        <f t="shared" si="34"/>
        <v>141761.06804773698</v>
      </c>
      <c r="R120" s="94">
        <f t="shared" si="35"/>
        <v>193206.11617631782</v>
      </c>
      <c r="S120" s="94">
        <f t="shared" si="36"/>
        <v>112452.60369445977</v>
      </c>
      <c r="U120" s="165">
        <f t="shared" si="40"/>
        <v>186</v>
      </c>
      <c r="V120" s="523">
        <f t="shared" si="41"/>
        <v>775</v>
      </c>
      <c r="W120" s="321">
        <f t="shared" si="42"/>
        <v>310</v>
      </c>
    </row>
    <row r="121" spans="1:23" ht="15.75">
      <c r="A121" s="149" t="s">
        <v>529</v>
      </c>
      <c r="B121" s="142" t="s">
        <v>498</v>
      </c>
      <c r="C121" s="65">
        <v>3601</v>
      </c>
      <c r="D121" s="65">
        <v>4520</v>
      </c>
      <c r="E121" s="65">
        <v>5621</v>
      </c>
      <c r="F121" s="65">
        <v>4212</v>
      </c>
      <c r="G121" s="65">
        <v>955</v>
      </c>
      <c r="H121" s="306">
        <v>18909</v>
      </c>
      <c r="I121" s="303">
        <f t="shared" si="31"/>
        <v>18909</v>
      </c>
      <c r="J121" s="92">
        <v>6</v>
      </c>
      <c r="K121" s="520">
        <v>25</v>
      </c>
      <c r="L121" s="525">
        <v>10</v>
      </c>
      <c r="N121" s="186">
        <v>31</v>
      </c>
      <c r="O121" s="94">
        <f t="shared" si="32"/>
        <v>111800.61455100763</v>
      </c>
      <c r="P121" s="94">
        <f t="shared" si="33"/>
        <v>140332.9013525561</v>
      </c>
      <c r="Q121" s="94">
        <f t="shared" si="34"/>
        <v>174515.76073068977</v>
      </c>
      <c r="R121" s="94">
        <f t="shared" si="35"/>
        <v>130770.39391525804</v>
      </c>
      <c r="S121" s="94">
        <f t="shared" si="36"/>
        <v>29649.982476037851</v>
      </c>
      <c r="U121" s="165">
        <f t="shared" si="40"/>
        <v>186</v>
      </c>
      <c r="V121" s="523">
        <f t="shared" si="41"/>
        <v>775</v>
      </c>
      <c r="W121" s="321">
        <f t="shared" si="42"/>
        <v>310</v>
      </c>
    </row>
    <row r="122" spans="1:23" ht="15.75">
      <c r="A122" s="149" t="s">
        <v>530</v>
      </c>
      <c r="B122" s="142" t="s">
        <v>498</v>
      </c>
      <c r="C122" s="65">
        <v>1360</v>
      </c>
      <c r="D122" s="65">
        <v>8331</v>
      </c>
      <c r="E122" s="65">
        <v>3252</v>
      </c>
      <c r="F122" s="65">
        <v>6220</v>
      </c>
      <c r="G122" s="65">
        <v>4210</v>
      </c>
      <c r="H122" s="307">
        <v>23373</v>
      </c>
      <c r="I122" s="313">
        <f t="shared" si="31"/>
        <v>23373</v>
      </c>
      <c r="J122" s="92">
        <v>8</v>
      </c>
      <c r="K122" s="520">
        <v>25</v>
      </c>
      <c r="L122" s="525">
        <v>10</v>
      </c>
      <c r="N122" s="186">
        <v>30</v>
      </c>
      <c r="O122" s="94">
        <f t="shared" si="32"/>
        <v>31747.412642137922</v>
      </c>
      <c r="P122" s="94">
        <f t="shared" si="33"/>
        <v>194476.24611886108</v>
      </c>
      <c r="Q122" s="94">
        <f t="shared" si="34"/>
        <v>75913.666111935672</v>
      </c>
      <c r="R122" s="94">
        <f t="shared" si="35"/>
        <v>145197.72546624843</v>
      </c>
      <c r="S122" s="94">
        <f t="shared" si="36"/>
        <v>98276.917076029888</v>
      </c>
      <c r="U122" s="165">
        <f t="shared" si="40"/>
        <v>240</v>
      </c>
      <c r="V122" s="523">
        <f t="shared" si="41"/>
        <v>750</v>
      </c>
      <c r="W122" s="321">
        <f t="shared" si="42"/>
        <v>300</v>
      </c>
    </row>
    <row r="123" spans="1:23">
      <c r="U123" s="323">
        <f>SUM(U84:U122)</f>
        <v>14995</v>
      </c>
      <c r="V123" s="524">
        <f>SUM(V84:V122)</f>
        <v>45335</v>
      </c>
      <c r="W123" s="322">
        <f>SUM(W84:W122)</f>
        <v>25230</v>
      </c>
    </row>
    <row r="125" spans="1:23">
      <c r="U125" s="323">
        <f>U123+U82+U48+U15</f>
        <v>109401</v>
      </c>
      <c r="V125" s="524">
        <f>V123+V82+V48+V15</f>
        <v>206165</v>
      </c>
      <c r="W125" s="322">
        <f>W123+W82+W48+W15</f>
        <v>126280</v>
      </c>
    </row>
  </sheetData>
  <mergeCells count="2">
    <mergeCell ref="C4:G4"/>
    <mergeCell ref="O4:S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U47"/>
  <sheetViews>
    <sheetView workbookViewId="0">
      <selection activeCell="C46" sqref="C46"/>
    </sheetView>
  </sheetViews>
  <sheetFormatPr baseColWidth="10" defaultRowHeight="15"/>
  <cols>
    <col min="1" max="1" width="17.85546875" bestFit="1" customWidth="1"/>
    <col min="2" max="2" width="15.7109375" bestFit="1" customWidth="1"/>
    <col min="3" max="3" width="8.5703125" bestFit="1" customWidth="1"/>
    <col min="4" max="4" width="8.140625" customWidth="1"/>
    <col min="5" max="5" width="7" bestFit="1" customWidth="1"/>
    <col min="6" max="7" width="8.5703125" bestFit="1" customWidth="1"/>
    <col min="8" max="8" width="7.5703125" customWidth="1"/>
    <col min="9" max="9" width="10.28515625" customWidth="1"/>
    <col min="10" max="10" width="9.42578125" bestFit="1" customWidth="1"/>
    <col min="11" max="11" width="3.140625" customWidth="1"/>
    <col min="12" max="12" width="16.5703125" customWidth="1"/>
    <col min="13" max="13" width="2.7109375" customWidth="1"/>
    <col min="14" max="14" width="9.140625" customWidth="1"/>
    <col min="15" max="15" width="7.28515625" customWidth="1"/>
    <col min="16" max="16" width="8.140625" customWidth="1"/>
    <col min="17" max="17" width="7.85546875" customWidth="1"/>
    <col min="18" max="18" width="8.7109375" customWidth="1"/>
    <col min="19" max="19" width="8" customWidth="1"/>
    <col min="20" max="20" width="9.85546875" bestFit="1" customWidth="1"/>
  </cols>
  <sheetData>
    <row r="2" spans="1:13">
      <c r="A2" s="24"/>
      <c r="B2" s="25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I2" s="5" t="s">
        <v>542</v>
      </c>
      <c r="J2" s="5" t="s">
        <v>543</v>
      </c>
      <c r="M2" s="78"/>
    </row>
    <row r="3" spans="1:13">
      <c r="A3" s="24" t="s">
        <v>21</v>
      </c>
      <c r="B3" s="25"/>
      <c r="C3" s="4">
        <v>2.42</v>
      </c>
      <c r="D3" s="7">
        <v>1</v>
      </c>
      <c r="E3" s="4">
        <v>2.36</v>
      </c>
      <c r="F3" s="4">
        <v>2.2999999999999998</v>
      </c>
      <c r="G3" s="4">
        <v>2.19</v>
      </c>
      <c r="I3" s="4">
        <v>248000</v>
      </c>
      <c r="J3" s="4">
        <v>10000</v>
      </c>
      <c r="M3" s="78"/>
    </row>
    <row r="5" spans="1:13">
      <c r="A5" s="152" t="s">
        <v>385</v>
      </c>
      <c r="B5" s="152"/>
      <c r="C5" s="152" t="s">
        <v>464</v>
      </c>
      <c r="D5" s="152" t="s">
        <v>2</v>
      </c>
      <c r="E5" s="152" t="s">
        <v>3</v>
      </c>
      <c r="F5" s="152" t="s">
        <v>4</v>
      </c>
      <c r="G5" s="152" t="s">
        <v>5</v>
      </c>
      <c r="H5" s="152" t="s">
        <v>6</v>
      </c>
      <c r="I5" s="152" t="s">
        <v>548</v>
      </c>
      <c r="J5" s="152" t="s">
        <v>22</v>
      </c>
    </row>
    <row r="6" spans="1:13">
      <c r="A6" t="s">
        <v>544</v>
      </c>
      <c r="I6" t="s">
        <v>713</v>
      </c>
      <c r="J6" s="94">
        <f t="shared" ref="J6:J25" si="0">D6*C$3+E6*D$3+F6*E$3+G6*F$3+H6*G$3+C6*J$3</f>
        <v>0</v>
      </c>
    </row>
    <row r="7" spans="1:13">
      <c r="A7" t="s">
        <v>545</v>
      </c>
      <c r="E7">
        <f>1.2*I3</f>
        <v>297600</v>
      </c>
      <c r="J7" s="94">
        <f t="shared" si="0"/>
        <v>297600</v>
      </c>
    </row>
    <row r="8" spans="1:13">
      <c r="A8" t="s">
        <v>546</v>
      </c>
      <c r="I8" t="s">
        <v>462</v>
      </c>
      <c r="J8" s="94">
        <f t="shared" si="0"/>
        <v>0</v>
      </c>
    </row>
    <row r="9" spans="1:13">
      <c r="A9" t="s">
        <v>547</v>
      </c>
      <c r="D9">
        <f>0.18*$I$3</f>
        <v>44640</v>
      </c>
      <c r="E9">
        <f>0.18*$I$3</f>
        <v>44640</v>
      </c>
      <c r="F9">
        <f>0.18*$I$3</f>
        <v>44640</v>
      </c>
      <c r="G9">
        <f>0.18*$I$3</f>
        <v>44640</v>
      </c>
      <c r="H9">
        <f>0.18*$I$3</f>
        <v>44640</v>
      </c>
      <c r="J9" s="94">
        <f t="shared" si="0"/>
        <v>458452.79999999993</v>
      </c>
    </row>
    <row r="10" spans="1:13">
      <c r="A10" t="s">
        <v>549</v>
      </c>
      <c r="H10">
        <f>0.76*I3</f>
        <v>188480</v>
      </c>
      <c r="J10" s="94">
        <f t="shared" si="0"/>
        <v>412771.2</v>
      </c>
    </row>
    <row r="11" spans="1:13">
      <c r="A11" t="s">
        <v>550</v>
      </c>
      <c r="D11">
        <f>0.76*I3</f>
        <v>188480</v>
      </c>
      <c r="J11" s="94">
        <f t="shared" si="0"/>
        <v>456121.59999999998</v>
      </c>
    </row>
    <row r="12" spans="1:13">
      <c r="A12" t="s">
        <v>551</v>
      </c>
      <c r="G12">
        <f>0.76*I3</f>
        <v>188480</v>
      </c>
      <c r="J12" s="94">
        <f t="shared" si="0"/>
        <v>433503.99999999994</v>
      </c>
    </row>
    <row r="13" spans="1:13">
      <c r="A13" t="s">
        <v>552</v>
      </c>
      <c r="F13">
        <f>0.76*I3</f>
        <v>188480</v>
      </c>
      <c r="J13" s="94">
        <f t="shared" si="0"/>
        <v>444812.79999999999</v>
      </c>
    </row>
    <row r="14" spans="1:13">
      <c r="A14" t="s">
        <v>553</v>
      </c>
      <c r="B14" t="s">
        <v>721</v>
      </c>
      <c r="C14">
        <v>7</v>
      </c>
      <c r="J14" s="94">
        <f t="shared" si="0"/>
        <v>70000</v>
      </c>
    </row>
    <row r="15" spans="1:13">
      <c r="A15" t="s">
        <v>554</v>
      </c>
      <c r="B15" t="s">
        <v>722</v>
      </c>
      <c r="C15">
        <v>9</v>
      </c>
      <c r="J15" s="94">
        <f t="shared" si="0"/>
        <v>90000</v>
      </c>
    </row>
    <row r="16" spans="1:13">
      <c r="A16" t="s">
        <v>555</v>
      </c>
      <c r="B16" t="s">
        <v>725</v>
      </c>
      <c r="C16">
        <v>13</v>
      </c>
      <c r="J16" s="94">
        <f t="shared" si="0"/>
        <v>130000</v>
      </c>
    </row>
    <row r="17" spans="1:21">
      <c r="A17" t="s">
        <v>556</v>
      </c>
      <c r="B17" t="s">
        <v>724</v>
      </c>
      <c r="C17">
        <v>21</v>
      </c>
      <c r="J17" s="94">
        <f t="shared" si="0"/>
        <v>210000</v>
      </c>
    </row>
    <row r="18" spans="1:21">
      <c r="A18" t="s">
        <v>557</v>
      </c>
      <c r="B18" t="s">
        <v>717</v>
      </c>
      <c r="C18">
        <v>5</v>
      </c>
      <c r="J18" s="94">
        <f t="shared" si="0"/>
        <v>50000</v>
      </c>
    </row>
    <row r="19" spans="1:21">
      <c r="A19" t="s">
        <v>558</v>
      </c>
      <c r="B19" t="s">
        <v>718</v>
      </c>
      <c r="C19">
        <v>14</v>
      </c>
      <c r="J19" s="94">
        <f t="shared" si="0"/>
        <v>140000</v>
      </c>
    </row>
    <row r="20" spans="1:21">
      <c r="A20" t="s">
        <v>559</v>
      </c>
      <c r="B20" t="s">
        <v>719</v>
      </c>
      <c r="C20">
        <v>19</v>
      </c>
      <c r="J20" s="94">
        <f t="shared" si="0"/>
        <v>190000</v>
      </c>
    </row>
    <row r="21" spans="1:21">
      <c r="A21" t="s">
        <v>560</v>
      </c>
      <c r="B21" t="s">
        <v>720</v>
      </c>
      <c r="C21">
        <v>22</v>
      </c>
      <c r="J21" s="94">
        <f t="shared" si="0"/>
        <v>220000</v>
      </c>
    </row>
    <row r="22" spans="1:21">
      <c r="A22" t="s">
        <v>561</v>
      </c>
      <c r="B22" t="s">
        <v>714</v>
      </c>
      <c r="C22">
        <v>6</v>
      </c>
      <c r="J22" s="94">
        <f t="shared" si="0"/>
        <v>60000</v>
      </c>
    </row>
    <row r="23" spans="1:21">
      <c r="A23" t="s">
        <v>562</v>
      </c>
      <c r="B23" t="s">
        <v>723</v>
      </c>
      <c r="C23">
        <v>8</v>
      </c>
      <c r="J23" s="94">
        <f t="shared" si="0"/>
        <v>80000</v>
      </c>
    </row>
    <row r="24" spans="1:21">
      <c r="A24" t="s">
        <v>563</v>
      </c>
      <c r="B24" t="s">
        <v>715</v>
      </c>
      <c r="C24">
        <v>10</v>
      </c>
      <c r="J24" s="94">
        <f t="shared" si="0"/>
        <v>100000</v>
      </c>
    </row>
    <row r="25" spans="1:21">
      <c r="A25" t="s">
        <v>564</v>
      </c>
      <c r="B25" t="s">
        <v>716</v>
      </c>
      <c r="C25">
        <v>17</v>
      </c>
      <c r="J25" s="94">
        <f t="shared" si="0"/>
        <v>170000</v>
      </c>
    </row>
    <row r="26" spans="1:21">
      <c r="L26" s="92"/>
      <c r="M26" s="92"/>
      <c r="N26" s="92"/>
      <c r="O26" s="92"/>
      <c r="P26" s="92"/>
      <c r="Q26" s="92"/>
      <c r="R26" s="92"/>
      <c r="S26" s="92"/>
      <c r="T26" s="92"/>
      <c r="U26" s="165"/>
    </row>
    <row r="29" spans="1:21">
      <c r="A29" s="71" t="s">
        <v>536</v>
      </c>
      <c r="B29" s="71" t="s">
        <v>34</v>
      </c>
      <c r="C29" s="71" t="s">
        <v>464</v>
      </c>
      <c r="D29" s="71" t="s">
        <v>2</v>
      </c>
      <c r="E29" s="71" t="s">
        <v>3</v>
      </c>
      <c r="F29" s="71" t="s">
        <v>4</v>
      </c>
      <c r="G29" s="71" t="s">
        <v>5</v>
      </c>
      <c r="H29" s="71" t="s">
        <v>6</v>
      </c>
      <c r="I29" s="152" t="s">
        <v>541</v>
      </c>
    </row>
    <row r="30" spans="1:21">
      <c r="A30" t="s">
        <v>79</v>
      </c>
      <c r="B30">
        <v>1</v>
      </c>
      <c r="C30">
        <v>1</v>
      </c>
      <c r="D30">
        <v>300</v>
      </c>
      <c r="E30">
        <v>220</v>
      </c>
      <c r="F30">
        <v>230</v>
      </c>
      <c r="G30">
        <v>450</v>
      </c>
      <c r="H30">
        <v>100</v>
      </c>
      <c r="I30" s="94">
        <f t="shared" ref="I30:I47" si="1">(D30*C$3+E30*D$3+F30*E$3+G30*F$3+H30*G$3)*B30/C30</f>
        <v>2742.8</v>
      </c>
    </row>
    <row r="31" spans="1:21">
      <c r="A31" t="s">
        <v>384</v>
      </c>
      <c r="B31">
        <v>1</v>
      </c>
      <c r="C31">
        <v>2</v>
      </c>
      <c r="D31">
        <v>0</v>
      </c>
      <c r="E31">
        <v>120</v>
      </c>
      <c r="F31">
        <v>0</v>
      </c>
      <c r="G31">
        <v>300</v>
      </c>
      <c r="H31">
        <v>500</v>
      </c>
      <c r="I31" s="94">
        <f t="shared" si="1"/>
        <v>952.5</v>
      </c>
    </row>
    <row r="32" spans="1:21">
      <c r="A32" t="s">
        <v>537</v>
      </c>
      <c r="B32">
        <v>1</v>
      </c>
      <c r="C32">
        <v>2</v>
      </c>
      <c r="D32">
        <v>200</v>
      </c>
      <c r="E32">
        <v>250</v>
      </c>
      <c r="F32">
        <v>180</v>
      </c>
      <c r="G32">
        <v>300</v>
      </c>
      <c r="H32">
        <v>150</v>
      </c>
      <c r="I32" s="94">
        <f t="shared" si="1"/>
        <v>1088.6500000000001</v>
      </c>
    </row>
    <row r="33" spans="1:9">
      <c r="A33" t="s">
        <v>514</v>
      </c>
      <c r="B33">
        <v>1</v>
      </c>
      <c r="C33">
        <v>4</v>
      </c>
      <c r="D33">
        <v>60</v>
      </c>
      <c r="E33">
        <v>200</v>
      </c>
      <c r="F33">
        <v>900</v>
      </c>
      <c r="G33">
        <v>120</v>
      </c>
      <c r="H33">
        <v>30</v>
      </c>
      <c r="I33" s="94">
        <f t="shared" si="1"/>
        <v>702.72499999999991</v>
      </c>
    </row>
    <row r="34" spans="1:9">
      <c r="A34" t="s">
        <v>381</v>
      </c>
      <c r="B34">
        <v>1</v>
      </c>
      <c r="C34">
        <v>6</v>
      </c>
      <c r="D34">
        <v>2130</v>
      </c>
      <c r="E34">
        <v>1230</v>
      </c>
      <c r="F34">
        <v>1235</v>
      </c>
      <c r="G34">
        <v>2200</v>
      </c>
      <c r="H34">
        <v>6000</v>
      </c>
      <c r="I34" s="94">
        <f t="shared" si="1"/>
        <v>4583.2</v>
      </c>
    </row>
    <row r="35" spans="1:9">
      <c r="A35" t="s">
        <v>78</v>
      </c>
      <c r="B35">
        <v>1</v>
      </c>
      <c r="C35">
        <v>2</v>
      </c>
      <c r="D35">
        <v>700</v>
      </c>
      <c r="E35">
        <v>500</v>
      </c>
      <c r="F35">
        <v>800</v>
      </c>
      <c r="G35">
        <v>300</v>
      </c>
      <c r="H35">
        <v>700</v>
      </c>
      <c r="I35" s="94">
        <f t="shared" si="1"/>
        <v>3152.5</v>
      </c>
    </row>
    <row r="36" spans="1:9">
      <c r="A36" t="s">
        <v>380</v>
      </c>
      <c r="B36">
        <v>1</v>
      </c>
      <c r="C36">
        <v>3</v>
      </c>
      <c r="D36">
        <v>680</v>
      </c>
      <c r="E36">
        <v>1000</v>
      </c>
      <c r="F36">
        <v>320</v>
      </c>
      <c r="G36">
        <v>600</v>
      </c>
      <c r="H36">
        <v>200</v>
      </c>
      <c r="I36" s="94">
        <f t="shared" si="1"/>
        <v>1739.5999999999997</v>
      </c>
    </row>
    <row r="37" spans="1:9">
      <c r="A37" t="s">
        <v>538</v>
      </c>
      <c r="B37">
        <v>1</v>
      </c>
      <c r="C37">
        <v>6</v>
      </c>
      <c r="D37">
        <v>5500</v>
      </c>
      <c r="E37">
        <v>5200</v>
      </c>
      <c r="F37">
        <v>5000</v>
      </c>
      <c r="G37">
        <v>6000</v>
      </c>
      <c r="H37">
        <v>3000</v>
      </c>
      <c r="I37" s="94">
        <f t="shared" si="1"/>
        <v>8446.6666666666661</v>
      </c>
    </row>
    <row r="38" spans="1:9">
      <c r="A38" t="s">
        <v>393</v>
      </c>
      <c r="B38">
        <v>1</v>
      </c>
      <c r="C38">
        <v>8</v>
      </c>
      <c r="D38">
        <v>5000</v>
      </c>
      <c r="E38">
        <v>3900</v>
      </c>
      <c r="F38">
        <v>4250</v>
      </c>
      <c r="G38">
        <v>2650</v>
      </c>
      <c r="H38">
        <v>4300</v>
      </c>
      <c r="I38" s="94">
        <f t="shared" si="1"/>
        <v>5192.75</v>
      </c>
    </row>
    <row r="39" spans="1:9">
      <c r="A39" t="s">
        <v>58</v>
      </c>
      <c r="B39">
        <v>1</v>
      </c>
      <c r="C39">
        <v>4</v>
      </c>
      <c r="D39">
        <v>2350</v>
      </c>
      <c r="E39">
        <v>3890</v>
      </c>
      <c r="F39">
        <v>1200</v>
      </c>
      <c r="G39">
        <v>2000</v>
      </c>
      <c r="H39">
        <v>850</v>
      </c>
      <c r="I39" s="94">
        <f t="shared" si="1"/>
        <v>4717.625</v>
      </c>
    </row>
    <row r="40" spans="1:9">
      <c r="A40" t="s">
        <v>394</v>
      </c>
      <c r="B40">
        <v>1</v>
      </c>
      <c r="C40">
        <v>5</v>
      </c>
      <c r="D40">
        <v>3100</v>
      </c>
      <c r="E40">
        <v>3000</v>
      </c>
      <c r="F40">
        <v>1300</v>
      </c>
      <c r="G40">
        <v>3280</v>
      </c>
      <c r="H40">
        <v>990</v>
      </c>
      <c r="I40" s="94">
        <f t="shared" si="1"/>
        <v>4656.42</v>
      </c>
    </row>
    <row r="41" spans="1:9">
      <c r="A41" t="s">
        <v>539</v>
      </c>
      <c r="B41">
        <v>1</v>
      </c>
      <c r="C41">
        <v>6</v>
      </c>
      <c r="D41">
        <v>3000</v>
      </c>
      <c r="E41">
        <v>5000</v>
      </c>
      <c r="F41">
        <v>8000</v>
      </c>
      <c r="G41">
        <v>2000</v>
      </c>
      <c r="H41">
        <v>1000</v>
      </c>
      <c r="I41" s="94">
        <f t="shared" si="1"/>
        <v>6321.666666666667</v>
      </c>
    </row>
    <row r="42" spans="1:9">
      <c r="A42" t="s">
        <v>540</v>
      </c>
      <c r="B42">
        <v>1</v>
      </c>
      <c r="C42">
        <v>12</v>
      </c>
      <c r="D42">
        <v>15000</v>
      </c>
      <c r="E42">
        <v>14700</v>
      </c>
      <c r="F42">
        <v>30000</v>
      </c>
      <c r="G42">
        <v>13000</v>
      </c>
      <c r="H42">
        <v>12500</v>
      </c>
      <c r="I42" s="94">
        <f t="shared" si="1"/>
        <v>14922.916666666666</v>
      </c>
    </row>
    <row r="43" spans="1:9">
      <c r="A43" t="s">
        <v>392</v>
      </c>
      <c r="B43">
        <v>1</v>
      </c>
      <c r="C43">
        <v>9</v>
      </c>
      <c r="D43">
        <v>12000</v>
      </c>
      <c r="E43">
        <v>8000</v>
      </c>
      <c r="F43">
        <v>10000</v>
      </c>
      <c r="G43">
        <v>4000</v>
      </c>
      <c r="H43">
        <v>11000</v>
      </c>
      <c r="I43" s="94">
        <f t="shared" si="1"/>
        <v>10436.666666666666</v>
      </c>
    </row>
    <row r="44" spans="1:9">
      <c r="A44" t="s">
        <v>391</v>
      </c>
      <c r="B44">
        <v>1</v>
      </c>
      <c r="C44">
        <v>8</v>
      </c>
      <c r="D44">
        <v>16500</v>
      </c>
      <c r="E44">
        <v>9000</v>
      </c>
      <c r="F44">
        <v>12500</v>
      </c>
      <c r="G44">
        <v>24500</v>
      </c>
      <c r="H44">
        <v>22500</v>
      </c>
      <c r="I44" s="94">
        <f t="shared" si="1"/>
        <v>23006.875</v>
      </c>
    </row>
    <row r="45" spans="1:9">
      <c r="A45" t="s">
        <v>389</v>
      </c>
      <c r="B45">
        <v>1</v>
      </c>
      <c r="C45">
        <v>14</v>
      </c>
      <c r="D45">
        <v>20000</v>
      </c>
      <c r="E45">
        <v>12000</v>
      </c>
      <c r="F45">
        <v>15000</v>
      </c>
      <c r="G45">
        <v>27800</v>
      </c>
      <c r="H45">
        <v>25920</v>
      </c>
      <c r="I45" s="94">
        <f t="shared" si="1"/>
        <v>15464.628571428571</v>
      </c>
    </row>
    <row r="46" spans="1:9">
      <c r="A46" t="s">
        <v>386</v>
      </c>
      <c r="B46">
        <v>1</v>
      </c>
      <c r="C46">
        <v>12</v>
      </c>
      <c r="D46">
        <v>20000</v>
      </c>
      <c r="E46">
        <v>22800</v>
      </c>
      <c r="F46">
        <v>23500</v>
      </c>
      <c r="G46">
        <v>25000</v>
      </c>
      <c r="H46">
        <v>21250</v>
      </c>
      <c r="I46" s="94">
        <f t="shared" si="1"/>
        <v>19224.791666666668</v>
      </c>
    </row>
    <row r="47" spans="1:9">
      <c r="A47" t="s">
        <v>390</v>
      </c>
      <c r="B47">
        <v>1</v>
      </c>
      <c r="C47">
        <v>18</v>
      </c>
      <c r="D47">
        <v>21500</v>
      </c>
      <c r="E47">
        <v>17000</v>
      </c>
      <c r="F47">
        <v>21000</v>
      </c>
      <c r="G47">
        <v>20000</v>
      </c>
      <c r="H47">
        <v>19000</v>
      </c>
      <c r="I47" s="94">
        <f t="shared" si="1"/>
        <v>11455.555555555555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7"/>
  <sheetViews>
    <sheetView workbookViewId="0">
      <selection activeCell="P26" sqref="P26"/>
    </sheetView>
  </sheetViews>
  <sheetFormatPr baseColWidth="10" defaultRowHeight="15"/>
  <cols>
    <col min="1" max="1" width="14" customWidth="1"/>
    <col min="2" max="2" width="6.7109375" customWidth="1"/>
    <col min="3" max="4" width="6" style="30" hidden="1" customWidth="1"/>
    <col min="5" max="5" width="5.140625" style="30" hidden="1" customWidth="1"/>
    <col min="6" max="6" width="6.140625" style="30" hidden="1" customWidth="1"/>
    <col min="7" max="8" width="6" style="30" hidden="1" customWidth="1"/>
    <col min="9" max="9" width="7.140625" style="30" hidden="1" customWidth="1"/>
    <col min="10" max="10" width="6.42578125" style="30" hidden="1" customWidth="1"/>
    <col min="11" max="12" width="6.140625" style="30" hidden="1" customWidth="1"/>
    <col min="13" max="13" width="8.42578125" style="30" hidden="1" customWidth="1"/>
    <col min="14" max="14" width="13.7109375" customWidth="1"/>
    <col min="15" max="15" width="13.5703125" customWidth="1"/>
    <col min="16" max="16" width="14" customWidth="1"/>
    <col min="17" max="17" width="13.7109375" customWidth="1"/>
    <col min="18" max="18" width="13.5703125" customWidth="1"/>
  </cols>
  <sheetData>
    <row r="1" spans="1:18">
      <c r="A1" s="1" t="s">
        <v>685</v>
      </c>
    </row>
    <row r="4" spans="1:18" ht="15.75" thickBot="1"/>
    <row r="5" spans="1:18" ht="15.75" thickBot="1">
      <c r="C5" s="596" t="s">
        <v>492</v>
      </c>
      <c r="D5" s="597"/>
      <c r="E5" s="597"/>
      <c r="F5" s="597"/>
      <c r="G5" s="597"/>
      <c r="H5" s="597"/>
      <c r="I5" s="597"/>
      <c r="J5" s="597"/>
      <c r="K5" s="597"/>
      <c r="L5" s="598"/>
      <c r="M5" s="594" t="s">
        <v>787</v>
      </c>
      <c r="N5" s="584" t="s">
        <v>23</v>
      </c>
      <c r="O5" s="585"/>
      <c r="P5" s="585"/>
      <c r="Q5" s="585"/>
      <c r="R5" s="586"/>
    </row>
    <row r="6" spans="1:18" ht="15.75" thickBot="1">
      <c r="A6" s="66" t="s">
        <v>675</v>
      </c>
      <c r="B6" s="66" t="s">
        <v>59</v>
      </c>
      <c r="C6" s="599" t="s">
        <v>2</v>
      </c>
      <c r="D6" s="600"/>
      <c r="E6" s="600" t="s">
        <v>3</v>
      </c>
      <c r="F6" s="600"/>
      <c r="G6" s="600" t="s">
        <v>4</v>
      </c>
      <c r="H6" s="600"/>
      <c r="I6" s="600" t="s">
        <v>5</v>
      </c>
      <c r="J6" s="600"/>
      <c r="K6" s="600" t="s">
        <v>6</v>
      </c>
      <c r="L6" s="601"/>
      <c r="M6" s="595"/>
      <c r="N6" s="24" t="s">
        <v>2</v>
      </c>
      <c r="O6" s="282" t="s">
        <v>3</v>
      </c>
      <c r="P6" s="72" t="s">
        <v>4</v>
      </c>
      <c r="Q6" s="282" t="s">
        <v>5</v>
      </c>
      <c r="R6" s="286" t="s">
        <v>6</v>
      </c>
    </row>
    <row r="7" spans="1:18">
      <c r="A7" s="119" t="s">
        <v>465</v>
      </c>
      <c r="B7" s="466">
        <v>11</v>
      </c>
      <c r="C7" s="457">
        <v>240</v>
      </c>
      <c r="D7" s="470">
        <f>C7/(C7+E7+G7+I7+K7)</f>
        <v>0.25531914893617019</v>
      </c>
      <c r="E7" s="458">
        <v>70</v>
      </c>
      <c r="F7" s="470">
        <f>E7/(E7+G7+I7+K7+C7)</f>
        <v>7.4468085106382975E-2</v>
      </c>
      <c r="G7" s="459">
        <v>290</v>
      </c>
      <c r="H7" s="470">
        <f>G7/(G7+I7+K7+C7+E7)</f>
        <v>0.30851063829787234</v>
      </c>
      <c r="I7" s="459">
        <v>210</v>
      </c>
      <c r="J7" s="470">
        <f>I7/(I7+K7+C7+E7+G7)</f>
        <v>0.22340425531914893</v>
      </c>
      <c r="K7" s="459">
        <v>130</v>
      </c>
      <c r="L7" s="471">
        <f>K7/(K7+C7+E7+G7+I7)</f>
        <v>0.13829787234042554</v>
      </c>
      <c r="M7" s="459">
        <v>1.8</v>
      </c>
      <c r="N7" s="254">
        <f>C7*$M7^$B7</f>
        <v>154244.18419015687</v>
      </c>
      <c r="O7" s="279">
        <f t="shared" ref="O7:O12" si="0">E7*$M7^$B7</f>
        <v>44987.887055462423</v>
      </c>
      <c r="P7" s="283">
        <f t="shared" ref="P7:P12" si="1">G7*$M7^$B7</f>
        <v>186378.3892297729</v>
      </c>
      <c r="Q7" s="279">
        <f t="shared" ref="Q7:Q12" si="2">I7*$M7^$B7</f>
        <v>134963.66116638726</v>
      </c>
      <c r="R7" s="287">
        <f t="shared" ref="R7:R12" si="3">K7*$M7^$B7</f>
        <v>83548.933103001647</v>
      </c>
    </row>
    <row r="8" spans="1:18">
      <c r="A8" s="24" t="s">
        <v>676</v>
      </c>
      <c r="B8" s="467"/>
      <c r="C8" s="460">
        <v>240</v>
      </c>
      <c r="D8" s="469">
        <f t="shared" ref="D8:D18" si="4">C8/(C8+E8+G8+I8+K8)</f>
        <v>0.38709677419354838</v>
      </c>
      <c r="E8" s="461">
        <v>40</v>
      </c>
      <c r="F8" s="469">
        <f t="shared" ref="F8:F18" si="5">E8/(E8+G8+I8+K8+C8)</f>
        <v>6.4516129032258063E-2</v>
      </c>
      <c r="G8" s="462">
        <v>250</v>
      </c>
      <c r="H8" s="469">
        <f t="shared" ref="H8:H18" si="6">G8/(G8+I8+K8+C8+E8)</f>
        <v>0.40322580645161288</v>
      </c>
      <c r="I8" s="462">
        <v>70</v>
      </c>
      <c r="J8" s="469">
        <f t="shared" ref="J8:J18" si="7">I8/(I8+K8+C8+E8+G8)</f>
        <v>0.11290322580645161</v>
      </c>
      <c r="K8" s="462">
        <v>20</v>
      </c>
      <c r="L8" s="472">
        <f t="shared" ref="L8:L18" si="8">K8/(K8+C8+E8+G8+I8)</f>
        <v>3.2258064516129031E-2</v>
      </c>
      <c r="M8" s="462">
        <v>1.8</v>
      </c>
      <c r="N8" s="255">
        <f t="shared" ref="N8:N18" si="9">C8*$M8^$B8</f>
        <v>240</v>
      </c>
      <c r="O8" s="280">
        <f t="shared" si="0"/>
        <v>40</v>
      </c>
      <c r="P8" s="284">
        <f t="shared" si="1"/>
        <v>250</v>
      </c>
      <c r="Q8" s="280">
        <f t="shared" si="2"/>
        <v>70</v>
      </c>
      <c r="R8" s="288">
        <f t="shared" si="3"/>
        <v>20</v>
      </c>
    </row>
    <row r="9" spans="1:18">
      <c r="A9" s="24" t="s">
        <v>677</v>
      </c>
      <c r="B9" s="467"/>
      <c r="C9" s="460">
        <v>13500</v>
      </c>
      <c r="D9" s="469">
        <f t="shared" si="4"/>
        <v>0.38297872340425532</v>
      </c>
      <c r="E9" s="461">
        <v>0</v>
      </c>
      <c r="F9" s="469">
        <f t="shared" si="5"/>
        <v>0</v>
      </c>
      <c r="G9" s="462">
        <v>20250</v>
      </c>
      <c r="H9" s="469">
        <f t="shared" si="6"/>
        <v>0.57446808510638303</v>
      </c>
      <c r="I9" s="462">
        <v>1500</v>
      </c>
      <c r="J9" s="469">
        <f t="shared" si="7"/>
        <v>4.2553191489361701E-2</v>
      </c>
      <c r="K9" s="462">
        <v>0</v>
      </c>
      <c r="L9" s="472">
        <f t="shared" si="8"/>
        <v>0</v>
      </c>
      <c r="M9" s="462">
        <v>1.36</v>
      </c>
      <c r="N9" s="255">
        <f t="shared" si="9"/>
        <v>13500</v>
      </c>
      <c r="O9" s="280">
        <f t="shared" si="0"/>
        <v>0</v>
      </c>
      <c r="P9" s="284">
        <f t="shared" si="1"/>
        <v>20250</v>
      </c>
      <c r="Q9" s="280">
        <f t="shared" si="2"/>
        <v>1500</v>
      </c>
      <c r="R9" s="288">
        <f t="shared" si="3"/>
        <v>0</v>
      </c>
    </row>
    <row r="10" spans="1:18">
      <c r="A10" s="24" t="s">
        <v>678</v>
      </c>
      <c r="B10" s="467"/>
      <c r="C10" s="460">
        <v>5850</v>
      </c>
      <c r="D10" s="469">
        <f>C10/(C10+E10+G10+I10+K10)</f>
        <v>0.16049382716049382</v>
      </c>
      <c r="E10" s="461">
        <v>9000</v>
      </c>
      <c r="F10" s="469">
        <f>E10/(E10+G10+I10+K10+C10)</f>
        <v>0.24691358024691357</v>
      </c>
      <c r="G10" s="462">
        <v>8850</v>
      </c>
      <c r="H10" s="469">
        <f>G10/(G10+I10+K10+C10+E10)</f>
        <v>0.24279835390946503</v>
      </c>
      <c r="I10" s="462">
        <v>7500</v>
      </c>
      <c r="J10" s="469">
        <f>I10/(I10+K10+C10+E10+G10)</f>
        <v>0.20576131687242799</v>
      </c>
      <c r="K10" s="462">
        <v>5250</v>
      </c>
      <c r="L10" s="472">
        <f>K10/(K10+C10+E10+G10+I10)</f>
        <v>0.1440329218106996</v>
      </c>
      <c r="M10" s="462">
        <v>1.5</v>
      </c>
      <c r="N10" s="255">
        <f>C10*$M10^$B10</f>
        <v>5850</v>
      </c>
      <c r="O10" s="280">
        <f t="shared" si="0"/>
        <v>9000</v>
      </c>
      <c r="P10" s="284">
        <f t="shared" si="1"/>
        <v>8850</v>
      </c>
      <c r="Q10" s="280">
        <f t="shared" si="2"/>
        <v>7500</v>
      </c>
      <c r="R10" s="288">
        <f t="shared" si="3"/>
        <v>5250</v>
      </c>
    </row>
    <row r="11" spans="1:18">
      <c r="A11" s="24" t="s">
        <v>679</v>
      </c>
      <c r="B11" s="467"/>
      <c r="C11" s="460">
        <v>5000</v>
      </c>
      <c r="D11" s="469">
        <f>C11/(C11+E11+G11+I11+K11)</f>
        <v>0.24813895781637718</v>
      </c>
      <c r="E11" s="461">
        <v>3250</v>
      </c>
      <c r="F11" s="469">
        <f>E11/(E11+G11+I11+K11+C11)</f>
        <v>0.16129032258064516</v>
      </c>
      <c r="G11" s="462">
        <v>4800</v>
      </c>
      <c r="H11" s="469">
        <f>G11/(G11+I11+K11+C11+E11)</f>
        <v>0.23821339950372208</v>
      </c>
      <c r="I11" s="462">
        <v>2600</v>
      </c>
      <c r="J11" s="469">
        <f>I11/(I11+K11+C11+E11+G11)</f>
        <v>0.12903225806451613</v>
      </c>
      <c r="K11" s="462">
        <v>4500</v>
      </c>
      <c r="L11" s="472">
        <f>K11/(K11+C11+E11+G11+I11)</f>
        <v>0.22332506203473945</v>
      </c>
      <c r="M11" s="462">
        <v>1.85</v>
      </c>
      <c r="N11" s="255">
        <f>C11*$M11^$B11</f>
        <v>5000</v>
      </c>
      <c r="O11" s="280">
        <f t="shared" si="0"/>
        <v>3250</v>
      </c>
      <c r="P11" s="284">
        <f t="shared" si="1"/>
        <v>4800</v>
      </c>
      <c r="Q11" s="280">
        <f t="shared" si="2"/>
        <v>2600</v>
      </c>
      <c r="R11" s="288">
        <f t="shared" si="3"/>
        <v>4500</v>
      </c>
    </row>
    <row r="12" spans="1:18" ht="15.75" thickBot="1">
      <c r="A12" s="24" t="s">
        <v>378</v>
      </c>
      <c r="B12" s="467"/>
      <c r="C12" s="460">
        <v>60</v>
      </c>
      <c r="D12" s="469">
        <f>C12/(C12+E12+G12+I12+K12)</f>
        <v>6.741573033707865E-2</v>
      </c>
      <c r="E12" s="461">
        <v>520</v>
      </c>
      <c r="F12" s="469">
        <f>E12/(E12+G12+I12+K12+C12)</f>
        <v>0.5842696629213483</v>
      </c>
      <c r="G12" s="462">
        <v>20</v>
      </c>
      <c r="H12" s="469">
        <f>G12/(G12+I12+K12+C12+E12)</f>
        <v>2.247191011235955E-2</v>
      </c>
      <c r="I12" s="462">
        <v>90</v>
      </c>
      <c r="J12" s="469">
        <f>I12/(I12+K12+C12+E12+G12)</f>
        <v>0.10112359550561797</v>
      </c>
      <c r="K12" s="462">
        <v>200</v>
      </c>
      <c r="L12" s="472">
        <f>K12/(K12+C12+E12+G12+I12)</f>
        <v>0.2247191011235955</v>
      </c>
      <c r="M12" s="462">
        <v>1.8</v>
      </c>
      <c r="N12" s="255">
        <f>C12*$M12^$B12</f>
        <v>60</v>
      </c>
      <c r="O12" s="280">
        <f t="shared" si="0"/>
        <v>520</v>
      </c>
      <c r="P12" s="284">
        <f t="shared" si="1"/>
        <v>20</v>
      </c>
      <c r="Q12" s="280">
        <f t="shared" si="2"/>
        <v>90</v>
      </c>
      <c r="R12" s="288">
        <f t="shared" si="3"/>
        <v>200</v>
      </c>
    </row>
    <row r="13" spans="1:18" ht="15.75" thickBot="1">
      <c r="A13" s="66"/>
      <c r="B13" s="475"/>
      <c r="C13" s="476"/>
      <c r="D13" s="477">
        <f>SUM(D7:D12)</f>
        <v>1.5014431618479234</v>
      </c>
      <c r="E13" s="478"/>
      <c r="F13" s="477">
        <f>SUM(F7:F12)</f>
        <v>1.131457779887548</v>
      </c>
      <c r="G13" s="479"/>
      <c r="H13" s="477">
        <f>SUM(H7:H12)</f>
        <v>1.7896881933814148</v>
      </c>
      <c r="I13" s="479"/>
      <c r="J13" s="477">
        <f>SUM(J7:J12)</f>
        <v>0.81477784305752443</v>
      </c>
      <c r="K13" s="479"/>
      <c r="L13" s="480">
        <f>SUM(L7:L12)</f>
        <v>0.76263302182558912</v>
      </c>
      <c r="M13" s="479"/>
      <c r="N13" s="481"/>
      <c r="O13" s="482"/>
      <c r="P13" s="483"/>
      <c r="Q13" s="482"/>
      <c r="R13" s="484"/>
    </row>
    <row r="14" spans="1:18">
      <c r="A14" s="119" t="s">
        <v>652</v>
      </c>
      <c r="B14" s="466">
        <v>20</v>
      </c>
      <c r="C14" s="457">
        <v>60</v>
      </c>
      <c r="D14" s="470">
        <f>C14/(C14+E14+G14+I14+K14)</f>
        <v>0.11320754716981132</v>
      </c>
      <c r="E14" s="458">
        <v>80</v>
      </c>
      <c r="F14" s="470">
        <f>E14/(E14+G14+I14+K14+C14)</f>
        <v>0.15094339622641509</v>
      </c>
      <c r="G14" s="459">
        <v>50</v>
      </c>
      <c r="H14" s="470">
        <f>G14/(G14+I14+K14+C14+E14)</f>
        <v>9.4339622641509441E-2</v>
      </c>
      <c r="I14" s="459">
        <v>90</v>
      </c>
      <c r="J14" s="470">
        <f>I14/(I14+K14+C14+E14+G14)</f>
        <v>0.16981132075471697</v>
      </c>
      <c r="K14" s="459">
        <v>250</v>
      </c>
      <c r="L14" s="471">
        <f>K14/(K14+C14+E14+G14+I14)</f>
        <v>0.47169811320754718</v>
      </c>
      <c r="M14" s="459">
        <v>1.8</v>
      </c>
      <c r="N14" s="254">
        <f>C14*$M14^$B14</f>
        <v>7648941.7298376542</v>
      </c>
      <c r="O14" s="279">
        <f>E14*$M14^$B14</f>
        <v>10198588.973116873</v>
      </c>
      <c r="P14" s="283">
        <f>G14*$M14^$B14</f>
        <v>6374118.1081980448</v>
      </c>
      <c r="Q14" s="279">
        <f>I14*$M14^$B14</f>
        <v>11473412.594756482</v>
      </c>
      <c r="R14" s="287">
        <f>K14*$M14^$B14</f>
        <v>31870590.540990226</v>
      </c>
    </row>
    <row r="15" spans="1:18">
      <c r="A15" s="24" t="s">
        <v>373</v>
      </c>
      <c r="B15" s="467">
        <v>25</v>
      </c>
      <c r="C15" s="460">
        <v>1040</v>
      </c>
      <c r="D15" s="469">
        <f t="shared" si="4"/>
        <v>0.1111111111111111</v>
      </c>
      <c r="E15" s="461">
        <v>325</v>
      </c>
      <c r="F15" s="469">
        <f t="shared" si="5"/>
        <v>3.4722222222222224E-2</v>
      </c>
      <c r="G15" s="462">
        <v>2080</v>
      </c>
      <c r="H15" s="469">
        <f t="shared" si="6"/>
        <v>0.22222222222222221</v>
      </c>
      <c r="I15" s="462">
        <v>4030</v>
      </c>
      <c r="J15" s="469">
        <f t="shared" si="7"/>
        <v>0.43055555555555558</v>
      </c>
      <c r="K15" s="462">
        <v>1885</v>
      </c>
      <c r="L15" s="472">
        <f t="shared" si="8"/>
        <v>0.2013888888888889</v>
      </c>
      <c r="M15" s="462">
        <v>1.35</v>
      </c>
      <c r="N15" s="255">
        <f t="shared" si="9"/>
        <v>1885287.3421367796</v>
      </c>
      <c r="O15" s="280">
        <f>E15*$M15^$B15</f>
        <v>589152.29441774357</v>
      </c>
      <c r="P15" s="284">
        <f>G15*$M15^$B15</f>
        <v>3770574.6842735591</v>
      </c>
      <c r="Q15" s="280">
        <f>I15*$M15^$B15</f>
        <v>7305488.450780021</v>
      </c>
      <c r="R15" s="288">
        <f>K15*$M15^$B15</f>
        <v>3417083.3076229128</v>
      </c>
    </row>
    <row r="16" spans="1:18">
      <c r="A16" s="24" t="s">
        <v>375</v>
      </c>
      <c r="B16" s="467">
        <v>19</v>
      </c>
      <c r="C16" s="460">
        <v>2000</v>
      </c>
      <c r="D16" s="469">
        <f t="shared" si="4"/>
        <v>0.2012072434607646</v>
      </c>
      <c r="E16" s="461">
        <v>2060</v>
      </c>
      <c r="F16" s="469">
        <f t="shared" si="5"/>
        <v>0.20724346076458752</v>
      </c>
      <c r="G16" s="462">
        <v>3000</v>
      </c>
      <c r="H16" s="469">
        <f t="shared" si="6"/>
        <v>0.30181086519114686</v>
      </c>
      <c r="I16" s="462">
        <v>1200</v>
      </c>
      <c r="J16" s="469">
        <f t="shared" si="7"/>
        <v>0.12072434607645875</v>
      </c>
      <c r="K16" s="462">
        <v>1680</v>
      </c>
      <c r="L16" s="472">
        <f t="shared" si="8"/>
        <v>0.16901408450704225</v>
      </c>
      <c r="M16" s="462">
        <v>1.5</v>
      </c>
      <c r="N16" s="255">
        <f t="shared" si="9"/>
        <v>4433675.6401062012</v>
      </c>
      <c r="O16" s="280">
        <f>E16*$M16^$B16</f>
        <v>4566685.9093093872</v>
      </c>
      <c r="P16" s="284">
        <f>G16*$M16^$B16</f>
        <v>6650513.4601593018</v>
      </c>
      <c r="Q16" s="280">
        <f>I16*$M16^$B16</f>
        <v>2660205.3840637207</v>
      </c>
      <c r="R16" s="288">
        <f>K16*$M16^$B16</f>
        <v>3724287.537689209</v>
      </c>
    </row>
    <row r="17" spans="1:18">
      <c r="A17" s="24" t="s">
        <v>376</v>
      </c>
      <c r="B17" s="467">
        <v>21</v>
      </c>
      <c r="C17" s="460">
        <v>2900</v>
      </c>
      <c r="D17" s="469">
        <f t="shared" si="4"/>
        <v>0.2307447485677912</v>
      </c>
      <c r="E17" s="461">
        <v>2720</v>
      </c>
      <c r="F17" s="469">
        <f t="shared" si="5"/>
        <v>0.21642266072565244</v>
      </c>
      <c r="G17" s="462">
        <v>2350</v>
      </c>
      <c r="H17" s="469">
        <f t="shared" si="6"/>
        <v>0.18698281349458942</v>
      </c>
      <c r="I17" s="462">
        <v>2498</v>
      </c>
      <c r="J17" s="469">
        <f t="shared" si="7"/>
        <v>0.19875875238701465</v>
      </c>
      <c r="K17" s="462">
        <v>2100</v>
      </c>
      <c r="L17" s="472">
        <f t="shared" si="8"/>
        <v>0.16709102482495225</v>
      </c>
      <c r="M17" s="462">
        <v>1.45</v>
      </c>
      <c r="N17" s="255">
        <f t="shared" si="9"/>
        <v>7097837.3786489144</v>
      </c>
      <c r="O17" s="280">
        <f>E17*$M17^$B17</f>
        <v>6657281.9551465679</v>
      </c>
      <c r="P17" s="284">
        <f>G17*$M17^$B17</f>
        <v>5751695.8068361897</v>
      </c>
      <c r="Q17" s="280">
        <f>I17*$M17^$B17</f>
        <v>6113930.266160341</v>
      </c>
      <c r="R17" s="288">
        <f>K17*$M17^$B17</f>
        <v>5139813.2741940413</v>
      </c>
    </row>
    <row r="18" spans="1:18" ht="15.75" thickBot="1">
      <c r="A18" s="126" t="s">
        <v>377</v>
      </c>
      <c r="B18" s="468">
        <v>17</v>
      </c>
      <c r="C18" s="463">
        <v>1060</v>
      </c>
      <c r="D18" s="473">
        <f t="shared" si="4"/>
        <v>0.33865814696485624</v>
      </c>
      <c r="E18" s="464">
        <v>470</v>
      </c>
      <c r="F18" s="473">
        <f t="shared" si="5"/>
        <v>0.15015974440894569</v>
      </c>
      <c r="G18" s="465">
        <v>870</v>
      </c>
      <c r="H18" s="473">
        <f t="shared" si="6"/>
        <v>0.27795527156549521</v>
      </c>
      <c r="I18" s="465">
        <v>420</v>
      </c>
      <c r="J18" s="473">
        <f t="shared" si="7"/>
        <v>0.13418530351437699</v>
      </c>
      <c r="K18" s="465">
        <v>310</v>
      </c>
      <c r="L18" s="474">
        <f t="shared" si="8"/>
        <v>9.9041533546325874E-2</v>
      </c>
      <c r="M18" s="465">
        <v>1.8</v>
      </c>
      <c r="N18" s="256">
        <f t="shared" si="9"/>
        <v>23170662.5332302</v>
      </c>
      <c r="O18" s="281">
        <f>E18*$M18^$B18</f>
        <v>10273784.330771882</v>
      </c>
      <c r="P18" s="285">
        <f>G18*$M18^$B18</f>
        <v>19017430.569726676</v>
      </c>
      <c r="Q18" s="281">
        <f>I18*$M18^$B18</f>
        <v>9180828.5509025324</v>
      </c>
      <c r="R18" s="289">
        <f>K18*$M18^$B18</f>
        <v>6776325.8351899646</v>
      </c>
    </row>
    <row r="19" spans="1:18" ht="15.75" thickBot="1">
      <c r="A19" s="66"/>
      <c r="B19" s="475"/>
      <c r="C19" s="476"/>
      <c r="D19" s="477">
        <f>SUM(D14:D18)</f>
        <v>0.99492879727433436</v>
      </c>
      <c r="E19" s="478"/>
      <c r="F19" s="477">
        <f>SUM(F14:F18)</f>
        <v>0.75949148434782288</v>
      </c>
      <c r="G19" s="479"/>
      <c r="H19" s="477">
        <f>SUM(H14:H18)</f>
        <v>1.0833107951149632</v>
      </c>
      <c r="I19" s="479"/>
      <c r="J19" s="477">
        <f>SUM(J14:J18)</f>
        <v>1.054035278288123</v>
      </c>
      <c r="K19" s="479"/>
      <c r="L19" s="480">
        <f>SUM(L14:L18)</f>
        <v>1.1082336449747565</v>
      </c>
      <c r="M19" s="479"/>
      <c r="N19" s="481"/>
      <c r="O19" s="482"/>
      <c r="P19" s="483"/>
      <c r="Q19" s="482"/>
      <c r="R19" s="484"/>
    </row>
    <row r="20" spans="1:18">
      <c r="B20" s="167"/>
      <c r="C20" s="252"/>
      <c r="D20" s="252"/>
      <c r="E20" s="252"/>
      <c r="F20" s="252"/>
      <c r="G20" s="253"/>
      <c r="H20" s="253"/>
      <c r="I20" s="253"/>
      <c r="J20" s="253"/>
      <c r="K20" s="253"/>
      <c r="L20" s="253"/>
      <c r="M20" s="253"/>
      <c r="N20" s="162"/>
      <c r="O20" s="162"/>
      <c r="P20" s="162"/>
      <c r="Q20" s="164"/>
      <c r="R20" s="162"/>
    </row>
    <row r="21" spans="1:18">
      <c r="B21" s="167"/>
      <c r="C21" s="252"/>
      <c r="D21" s="252"/>
      <c r="E21" s="252"/>
      <c r="F21" s="252"/>
      <c r="G21" s="253"/>
      <c r="H21" s="253"/>
      <c r="I21" s="253"/>
      <c r="J21" s="253"/>
      <c r="K21" s="253"/>
      <c r="L21" s="253"/>
      <c r="M21" s="253"/>
      <c r="N21" s="162"/>
      <c r="O21" s="162"/>
      <c r="P21" s="162"/>
      <c r="Q21" s="162"/>
      <c r="R21" s="162"/>
    </row>
    <row r="22" spans="1:18">
      <c r="B22" s="167"/>
      <c r="C22" s="252"/>
      <c r="D22" s="252"/>
      <c r="E22" s="252"/>
      <c r="F22" s="252"/>
      <c r="G22" s="253"/>
      <c r="H22" s="253"/>
      <c r="I22" s="253"/>
      <c r="J22" s="253"/>
      <c r="K22" s="253"/>
      <c r="L22" s="253"/>
      <c r="M22" s="253"/>
      <c r="N22" s="162"/>
      <c r="O22" s="162"/>
      <c r="P22" s="162"/>
      <c r="Q22" s="162"/>
      <c r="R22" s="162"/>
    </row>
    <row r="23" spans="1:18">
      <c r="B23" s="167"/>
      <c r="C23" s="252"/>
      <c r="D23" s="252"/>
      <c r="E23" s="252"/>
      <c r="F23" s="252"/>
      <c r="G23" s="253"/>
      <c r="H23" s="253"/>
      <c r="I23" s="253"/>
      <c r="J23" s="253"/>
      <c r="K23" s="253"/>
      <c r="L23" s="253"/>
      <c r="M23" s="253"/>
      <c r="N23" s="162"/>
      <c r="O23" s="162"/>
      <c r="P23" s="162"/>
      <c r="Q23" s="162"/>
      <c r="R23" s="162"/>
    </row>
    <row r="24" spans="1:18">
      <c r="B24" s="167"/>
      <c r="C24" s="252"/>
      <c r="D24" s="252"/>
      <c r="E24" s="252"/>
      <c r="F24" s="252"/>
      <c r="G24" s="253"/>
      <c r="H24" s="253"/>
      <c r="I24" s="253"/>
      <c r="J24" s="253"/>
      <c r="K24" s="253"/>
      <c r="L24" s="253"/>
      <c r="M24" s="253"/>
      <c r="N24" s="162"/>
      <c r="O24" s="162"/>
      <c r="P24" s="162"/>
      <c r="Q24" s="162"/>
      <c r="R24" s="162"/>
    </row>
    <row r="25" spans="1:18">
      <c r="B25" s="167"/>
      <c r="C25" s="252"/>
      <c r="D25" s="252"/>
      <c r="E25" s="252"/>
      <c r="F25" s="252"/>
      <c r="G25" s="253"/>
      <c r="H25" s="253"/>
      <c r="I25" s="253"/>
      <c r="J25" s="253"/>
      <c r="K25" s="253"/>
      <c r="L25" s="253"/>
      <c r="M25" s="253"/>
      <c r="N25" s="162"/>
      <c r="O25" s="162"/>
      <c r="P25" s="162"/>
      <c r="Q25" s="162"/>
      <c r="R25" s="163"/>
    </row>
    <row r="26" spans="1:18">
      <c r="B26" s="167"/>
      <c r="C26" s="252"/>
      <c r="D26" s="252"/>
      <c r="E26" s="252"/>
      <c r="F26" s="252"/>
      <c r="G26" s="253"/>
      <c r="H26" s="253"/>
      <c r="I26" s="253"/>
      <c r="J26" s="253"/>
      <c r="K26" s="253"/>
      <c r="L26" s="253"/>
      <c r="M26" s="253"/>
      <c r="N26" s="162"/>
      <c r="O26" s="162"/>
      <c r="P26" s="162"/>
      <c r="Q26" s="162"/>
      <c r="R26" s="163"/>
    </row>
    <row r="27" spans="1:18">
      <c r="B27" s="167"/>
      <c r="C27" s="252"/>
      <c r="D27" s="252"/>
      <c r="E27" s="252"/>
      <c r="F27" s="252"/>
      <c r="G27" s="253"/>
      <c r="H27" s="253"/>
      <c r="I27" s="253"/>
      <c r="J27" s="253"/>
      <c r="K27" s="253"/>
      <c r="L27" s="253"/>
      <c r="M27" s="253"/>
      <c r="N27" s="162"/>
      <c r="O27" s="162"/>
      <c r="P27" s="162"/>
      <c r="Q27" s="162"/>
      <c r="R27" s="163"/>
    </row>
    <row r="28" spans="1:18">
      <c r="B28" s="167"/>
      <c r="C28" s="252"/>
      <c r="D28" s="252"/>
      <c r="E28" s="252"/>
      <c r="F28" s="252"/>
      <c r="G28" s="253"/>
      <c r="H28" s="253"/>
      <c r="I28" s="253"/>
      <c r="J28" s="253"/>
      <c r="K28" s="253"/>
      <c r="L28" s="253"/>
      <c r="M28" s="253"/>
      <c r="N28" s="163"/>
      <c r="O28" s="163"/>
      <c r="P28" s="163"/>
      <c r="Q28" s="162"/>
      <c r="R28" s="163"/>
    </row>
    <row r="29" spans="1:18">
      <c r="B29" s="167"/>
      <c r="C29" s="252"/>
      <c r="D29" s="252"/>
      <c r="E29" s="252"/>
      <c r="F29" s="252"/>
      <c r="G29" s="253"/>
      <c r="H29" s="253"/>
      <c r="I29" s="253"/>
      <c r="J29" s="253"/>
      <c r="K29" s="253"/>
      <c r="L29" s="253"/>
      <c r="M29" s="253"/>
      <c r="N29" s="163"/>
      <c r="O29" s="163"/>
      <c r="P29" s="163"/>
      <c r="Q29" s="162"/>
      <c r="R29" s="163"/>
    </row>
    <row r="30" spans="1:18">
      <c r="B30" s="167"/>
      <c r="C30" s="252"/>
      <c r="D30" s="252"/>
      <c r="E30" s="252"/>
      <c r="F30" s="252"/>
      <c r="G30" s="253"/>
      <c r="H30" s="253"/>
      <c r="I30" s="253"/>
      <c r="J30" s="253"/>
      <c r="K30" s="253"/>
      <c r="L30" s="253"/>
      <c r="M30" s="253"/>
      <c r="N30" s="163"/>
      <c r="O30" s="163"/>
      <c r="P30" s="163"/>
      <c r="Q30" s="163"/>
      <c r="R30" s="163"/>
    </row>
    <row r="31" spans="1:18">
      <c r="B31" s="167"/>
      <c r="C31" s="252"/>
      <c r="D31" s="252"/>
      <c r="E31" s="252"/>
      <c r="F31" s="252"/>
      <c r="G31" s="253"/>
      <c r="H31" s="253"/>
      <c r="I31" s="253"/>
      <c r="J31" s="253"/>
      <c r="K31" s="253"/>
      <c r="L31" s="253"/>
      <c r="M31" s="253"/>
      <c r="N31" s="163"/>
      <c r="O31" s="163"/>
      <c r="P31" s="163"/>
      <c r="Q31" s="163"/>
      <c r="R31" s="163"/>
    </row>
    <row r="32" spans="1:18">
      <c r="B32" s="167"/>
      <c r="C32" s="252"/>
      <c r="D32" s="252"/>
      <c r="E32" s="252"/>
      <c r="F32" s="252"/>
      <c r="G32" s="253"/>
      <c r="H32" s="253"/>
      <c r="I32" s="253"/>
      <c r="J32" s="253"/>
      <c r="K32" s="253"/>
      <c r="L32" s="253"/>
      <c r="M32" s="253"/>
      <c r="N32" s="163"/>
      <c r="O32" s="163"/>
      <c r="P32" s="163"/>
      <c r="Q32" s="163"/>
      <c r="R32" s="163"/>
    </row>
    <row r="33" spans="2:18">
      <c r="B33" s="167"/>
      <c r="C33" s="252"/>
      <c r="D33" s="252"/>
      <c r="E33" s="252"/>
      <c r="F33" s="252"/>
      <c r="G33" s="253"/>
      <c r="H33" s="253"/>
      <c r="I33" s="253"/>
      <c r="J33" s="253"/>
      <c r="K33" s="253"/>
      <c r="L33" s="253"/>
      <c r="M33" s="253"/>
      <c r="N33" s="163"/>
      <c r="O33" s="163"/>
      <c r="P33" s="163"/>
      <c r="Q33" s="163"/>
      <c r="R33" s="163"/>
    </row>
    <row r="34" spans="2:18">
      <c r="B34" s="167"/>
      <c r="C34" s="252"/>
      <c r="D34" s="252"/>
      <c r="E34" s="252"/>
      <c r="F34" s="252"/>
      <c r="G34" s="253"/>
      <c r="H34" s="253"/>
      <c r="I34" s="253"/>
      <c r="J34" s="253"/>
      <c r="K34" s="253"/>
      <c r="L34" s="253"/>
      <c r="M34" s="253"/>
      <c r="N34" s="163"/>
      <c r="O34" s="163"/>
      <c r="P34" s="163"/>
      <c r="Q34" s="163"/>
      <c r="R34" s="163"/>
    </row>
    <row r="35" spans="2:18">
      <c r="B35" s="167"/>
      <c r="C35" s="252"/>
      <c r="D35" s="252"/>
      <c r="E35" s="252"/>
      <c r="F35" s="252"/>
      <c r="G35" s="253"/>
      <c r="H35" s="253"/>
      <c r="I35" s="253"/>
      <c r="J35" s="253"/>
      <c r="K35" s="253"/>
      <c r="L35" s="253"/>
      <c r="M35" s="253"/>
      <c r="N35" s="163"/>
      <c r="O35" s="163"/>
      <c r="P35" s="163"/>
      <c r="Q35" s="163"/>
      <c r="R35" s="163"/>
    </row>
    <row r="36" spans="2:18">
      <c r="B36" s="167"/>
      <c r="C36" s="252"/>
      <c r="D36" s="252"/>
      <c r="E36" s="252"/>
      <c r="F36" s="252"/>
      <c r="G36" s="253"/>
      <c r="H36" s="253"/>
      <c r="I36" s="253"/>
      <c r="J36" s="253"/>
      <c r="K36" s="253"/>
      <c r="L36" s="253"/>
      <c r="M36" s="253"/>
      <c r="N36" s="163"/>
      <c r="O36" s="163"/>
      <c r="P36" s="163"/>
      <c r="Q36" s="163"/>
      <c r="R36" s="163"/>
    </row>
    <row r="37" spans="2:18">
      <c r="B37" s="167"/>
      <c r="C37" s="252"/>
      <c r="D37" s="252"/>
      <c r="E37" s="252"/>
      <c r="F37" s="252"/>
      <c r="G37" s="253"/>
      <c r="H37" s="253"/>
      <c r="I37" s="253"/>
      <c r="J37" s="253"/>
      <c r="K37" s="253"/>
      <c r="L37" s="253"/>
      <c r="M37" s="253"/>
      <c r="N37" s="163"/>
      <c r="O37" s="163"/>
      <c r="P37" s="163"/>
      <c r="Q37" s="163"/>
      <c r="R37" s="163"/>
    </row>
  </sheetData>
  <mergeCells count="8">
    <mergeCell ref="N5:R5"/>
    <mergeCell ref="M5:M6"/>
    <mergeCell ref="C5:L5"/>
    <mergeCell ref="C6:D6"/>
    <mergeCell ref="E6:F6"/>
    <mergeCell ref="G6:H6"/>
    <mergeCell ref="I6:J6"/>
    <mergeCell ref="K6:L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6"/>
  <sheetViews>
    <sheetView workbookViewId="0"/>
  </sheetViews>
  <sheetFormatPr baseColWidth="10" defaultRowHeight="15"/>
  <cols>
    <col min="1" max="1" width="17.85546875" customWidth="1"/>
    <col min="2" max="2" width="6.5703125" customWidth="1"/>
    <col min="3" max="3" width="10.42578125" style="30" customWidth="1"/>
    <col min="4" max="4" width="6.140625" style="30" customWidth="1"/>
    <col min="5" max="5" width="13.5703125" style="30" customWidth="1"/>
    <col min="6" max="6" width="11.42578125" customWidth="1"/>
  </cols>
  <sheetData>
    <row r="1" spans="1:6">
      <c r="A1" s="1" t="s">
        <v>674</v>
      </c>
    </row>
    <row r="3" spans="1:6">
      <c r="A3" t="s">
        <v>500</v>
      </c>
      <c r="B3" s="242">
        <v>1</v>
      </c>
    </row>
    <row r="4" spans="1:6">
      <c r="A4" t="s">
        <v>490</v>
      </c>
      <c r="B4" s="242">
        <v>30</v>
      </c>
    </row>
    <row r="5" spans="1:6" ht="15.75" thickBot="1"/>
    <row r="6" spans="1:6" ht="15.75" thickBot="1">
      <c r="A6" s="66" t="s">
        <v>675</v>
      </c>
      <c r="B6" s="18" t="s">
        <v>59</v>
      </c>
      <c r="C6" s="237" t="s">
        <v>680</v>
      </c>
      <c r="D6" s="237" t="s">
        <v>681</v>
      </c>
      <c r="E6" s="237" t="s">
        <v>683</v>
      </c>
      <c r="F6" s="18" t="s">
        <v>682</v>
      </c>
    </row>
    <row r="7" spans="1:6">
      <c r="A7" s="119" t="s">
        <v>465</v>
      </c>
      <c r="B7" s="243">
        <v>8</v>
      </c>
      <c r="C7" s="90">
        <v>1200</v>
      </c>
      <c r="D7" s="90">
        <v>1.55</v>
      </c>
      <c r="E7" s="238">
        <f>C7*B7^D7/86400</f>
        <v>0.34870404350966694</v>
      </c>
      <c r="F7" s="246">
        <f t="shared" ref="F7:F17" si="0">E7*(1-($B$3*10+$B$4)/100)</f>
        <v>0.20922242610580016</v>
      </c>
    </row>
    <row r="8" spans="1:6">
      <c r="A8" s="24" t="s">
        <v>652</v>
      </c>
      <c r="B8" s="244">
        <v>3</v>
      </c>
      <c r="C8" s="239">
        <v>1000</v>
      </c>
      <c r="D8" s="239">
        <v>1.65</v>
      </c>
      <c r="E8" s="240">
        <f t="shared" ref="E8:E17" si="1">C8*B8^D8/86400</f>
        <v>7.0914709442546922E-2</v>
      </c>
      <c r="F8" s="247">
        <f t="shared" si="0"/>
        <v>4.2548825665528152E-2</v>
      </c>
    </row>
    <row r="9" spans="1:6">
      <c r="A9" s="24" t="s">
        <v>676</v>
      </c>
      <c r="B9" s="244">
        <v>1</v>
      </c>
      <c r="C9" s="239">
        <v>4000</v>
      </c>
      <c r="D9" s="239">
        <v>1</v>
      </c>
      <c r="E9" s="240">
        <f t="shared" si="1"/>
        <v>4.6296296296296294E-2</v>
      </c>
      <c r="F9" s="247">
        <f t="shared" si="0"/>
        <v>2.7777777777777776E-2</v>
      </c>
    </row>
    <row r="10" spans="1:6">
      <c r="A10" s="24" t="s">
        <v>677</v>
      </c>
      <c r="B10" s="244">
        <v>7</v>
      </c>
      <c r="C10" s="239">
        <v>2600</v>
      </c>
      <c r="D10" s="239">
        <v>1.1000000000000001</v>
      </c>
      <c r="E10" s="240">
        <f t="shared" si="1"/>
        <v>0.25589832872119239</v>
      </c>
      <c r="F10" s="247">
        <f t="shared" si="0"/>
        <v>0.15353899723271544</v>
      </c>
    </row>
    <row r="11" spans="1:6">
      <c r="A11" s="24" t="s">
        <v>373</v>
      </c>
      <c r="B11" s="244">
        <v>13</v>
      </c>
      <c r="C11" s="239">
        <v>10000</v>
      </c>
      <c r="D11" s="239">
        <v>0.9</v>
      </c>
      <c r="E11" s="240">
        <f t="shared" si="1"/>
        <v>1.1642205867817508</v>
      </c>
      <c r="F11" s="247">
        <f t="shared" si="0"/>
        <v>0.6985323520690504</v>
      </c>
    </row>
    <row r="12" spans="1:6">
      <c r="A12" s="24" t="s">
        <v>678</v>
      </c>
      <c r="B12" s="244">
        <v>1</v>
      </c>
      <c r="C12" s="239">
        <v>7000</v>
      </c>
      <c r="D12" s="239">
        <v>1.25</v>
      </c>
      <c r="E12" s="240">
        <f t="shared" si="1"/>
        <v>8.1018518518518517E-2</v>
      </c>
      <c r="F12" s="247">
        <f t="shared" si="0"/>
        <v>4.8611111111111112E-2</v>
      </c>
    </row>
    <row r="13" spans="1:6">
      <c r="A13" s="24" t="s">
        <v>378</v>
      </c>
      <c r="B13" s="244">
        <v>3</v>
      </c>
      <c r="C13" s="239">
        <v>7200</v>
      </c>
      <c r="D13" s="239">
        <v>1.1000000000000001</v>
      </c>
      <c r="E13" s="240">
        <f t="shared" si="1"/>
        <v>0.27903079350847615</v>
      </c>
      <c r="F13" s="247">
        <f t="shared" si="0"/>
        <v>0.16741847610508567</v>
      </c>
    </row>
    <row r="14" spans="1:6">
      <c r="A14" s="24" t="s">
        <v>679</v>
      </c>
      <c r="B14" s="244">
        <v>4</v>
      </c>
      <c r="C14" s="239">
        <v>4000</v>
      </c>
      <c r="D14" s="239">
        <v>1.2</v>
      </c>
      <c r="E14" s="240">
        <f t="shared" si="1"/>
        <v>0.24435331680979519</v>
      </c>
      <c r="F14" s="247">
        <f t="shared" si="0"/>
        <v>0.14661199008587711</v>
      </c>
    </row>
    <row r="15" spans="1:6">
      <c r="A15" s="24" t="s">
        <v>375</v>
      </c>
      <c r="B15" s="244">
        <v>12</v>
      </c>
      <c r="C15" s="239">
        <v>9000</v>
      </c>
      <c r="D15" s="239">
        <v>1.1000000000000001</v>
      </c>
      <c r="E15" s="240">
        <f t="shared" si="1"/>
        <v>1.6026110674835201</v>
      </c>
      <c r="F15" s="247">
        <f t="shared" si="0"/>
        <v>0.96156664049011198</v>
      </c>
    </row>
    <row r="16" spans="1:6">
      <c r="A16" s="24" t="s">
        <v>376</v>
      </c>
      <c r="B16" s="244">
        <v>8</v>
      </c>
      <c r="C16" s="239">
        <v>14400</v>
      </c>
      <c r="D16" s="239">
        <v>1.01</v>
      </c>
      <c r="E16" s="240">
        <f t="shared" si="1"/>
        <v>1.361349500942924</v>
      </c>
      <c r="F16" s="247">
        <f t="shared" si="0"/>
        <v>0.8168097005657543</v>
      </c>
    </row>
    <row r="17" spans="1:6" ht="15.75" thickBot="1">
      <c r="A17" s="126" t="s">
        <v>377</v>
      </c>
      <c r="B17" s="245">
        <v>7</v>
      </c>
      <c r="C17" s="91">
        <v>11000</v>
      </c>
      <c r="D17" s="91">
        <v>1.1499999999999999</v>
      </c>
      <c r="E17" s="241">
        <f t="shared" si="1"/>
        <v>1.1932781508871693</v>
      </c>
      <c r="F17" s="248">
        <f t="shared" si="0"/>
        <v>0.71596689053230156</v>
      </c>
    </row>
    <row r="18" spans="1:6">
      <c r="F18" s="233"/>
    </row>
    <row r="19" spans="1:6">
      <c r="F19" s="233"/>
    </row>
    <row r="20" spans="1:6">
      <c r="F20" s="233"/>
    </row>
    <row r="21" spans="1:6">
      <c r="F21" s="233"/>
    </row>
    <row r="22" spans="1:6">
      <c r="E22" s="236" t="s">
        <v>688</v>
      </c>
      <c r="F22" s="250">
        <v>0.79513888888888884</v>
      </c>
    </row>
    <row r="23" spans="1:6">
      <c r="E23" s="236" t="s">
        <v>943</v>
      </c>
      <c r="F23" s="250">
        <v>0.60069444444444442</v>
      </c>
    </row>
    <row r="24" spans="1:6">
      <c r="E24" s="236" t="s">
        <v>731</v>
      </c>
      <c r="F24" s="250">
        <v>0.65</v>
      </c>
    </row>
    <row r="25" spans="1:6">
      <c r="E25" s="236" t="s">
        <v>732</v>
      </c>
      <c r="F25" s="250">
        <v>0.69861111111111107</v>
      </c>
    </row>
    <row r="26" spans="1:6">
      <c r="E26" s="236" t="s">
        <v>944</v>
      </c>
      <c r="F26" s="250">
        <v>0.87379629629629629</v>
      </c>
    </row>
    <row r="27" spans="1:6">
      <c r="E27" s="236" t="s">
        <v>945</v>
      </c>
      <c r="F27" s="250">
        <v>0.96156249999999999</v>
      </c>
    </row>
    <row r="28" spans="1:6">
      <c r="F28" s="250">
        <v>0</v>
      </c>
    </row>
    <row r="29" spans="1:6">
      <c r="F29" s="250">
        <v>0</v>
      </c>
    </row>
    <row r="30" spans="1:6">
      <c r="E30" s="236"/>
      <c r="F30" s="250">
        <v>0</v>
      </c>
    </row>
    <row r="31" spans="1:6">
      <c r="E31" s="236"/>
      <c r="F31" s="250">
        <v>0</v>
      </c>
    </row>
    <row r="32" spans="1:6">
      <c r="E32" s="236"/>
      <c r="F32" s="250">
        <v>0</v>
      </c>
    </row>
    <row r="33" spans="5:7">
      <c r="E33" s="236"/>
      <c r="F33" s="250">
        <v>0</v>
      </c>
    </row>
    <row r="34" spans="5:7">
      <c r="E34" s="236"/>
      <c r="F34" s="250">
        <v>0</v>
      </c>
    </row>
    <row r="35" spans="5:7" ht="15.75" thickBot="1">
      <c r="E35" s="236"/>
      <c r="F35" s="250">
        <v>0</v>
      </c>
    </row>
    <row r="36" spans="5:7" ht="15.75" thickBot="1">
      <c r="E36" s="234" t="s">
        <v>651</v>
      </c>
      <c r="F36" s="249">
        <f>SUM(F22:F35)</f>
        <v>4.5798032407407412</v>
      </c>
      <c r="G36" s="235" t="s">
        <v>684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2"/>
  <sheetViews>
    <sheetView workbookViewId="0"/>
  </sheetViews>
  <sheetFormatPr baseColWidth="10" defaultRowHeight="15"/>
  <cols>
    <col min="1" max="1" width="6" customWidth="1"/>
  </cols>
  <sheetData>
    <row r="1" spans="1:6">
      <c r="A1" s="1" t="s">
        <v>686</v>
      </c>
    </row>
    <row r="4" spans="1:6" ht="15.75" thickBot="1">
      <c r="A4" t="s">
        <v>687</v>
      </c>
    </row>
    <row r="5" spans="1:6" ht="15.75" thickBot="1">
      <c r="A5" s="119" t="s">
        <v>439</v>
      </c>
      <c r="B5" s="251" t="s">
        <v>30</v>
      </c>
      <c r="C5" s="261" t="s">
        <v>31</v>
      </c>
      <c r="D5" s="261" t="s">
        <v>32</v>
      </c>
      <c r="E5" s="272" t="s">
        <v>73</v>
      </c>
      <c r="F5" s="265" t="s">
        <v>74</v>
      </c>
    </row>
    <row r="6" spans="1:6">
      <c r="A6" s="276">
        <v>0</v>
      </c>
      <c r="B6" s="269">
        <v>3968</v>
      </c>
      <c r="C6" s="262">
        <v>1000</v>
      </c>
      <c r="D6" s="262">
        <v>4022</v>
      </c>
      <c r="E6" s="273">
        <v>1000</v>
      </c>
      <c r="F6" s="266">
        <v>72000</v>
      </c>
    </row>
    <row r="7" spans="1:6">
      <c r="A7" s="277">
        <v>1</v>
      </c>
      <c r="B7" s="270">
        <f>B6*1.15</f>
        <v>4563.2</v>
      </c>
      <c r="C7" s="263">
        <f>C6*1.3</f>
        <v>1300</v>
      </c>
      <c r="D7" s="263">
        <f>D6*1.25</f>
        <v>5027.5</v>
      </c>
      <c r="E7" s="274">
        <f>E6*1.25</f>
        <v>1250</v>
      </c>
      <c r="F7" s="267">
        <f>F6*1.2</f>
        <v>86400</v>
      </c>
    </row>
    <row r="8" spans="1:6">
      <c r="A8" s="277">
        <v>2</v>
      </c>
      <c r="B8" s="270">
        <f>B7*1.14</f>
        <v>5202.0479999999998</v>
      </c>
      <c r="C8" s="263">
        <f>C7*1.29</f>
        <v>1677</v>
      </c>
      <c r="D8" s="263">
        <f>D7*1.23</f>
        <v>6183.8249999999998</v>
      </c>
      <c r="E8" s="274">
        <f>E7*1.24</f>
        <v>1550</v>
      </c>
      <c r="F8" s="267">
        <f>F7*1.18</f>
        <v>101952</v>
      </c>
    </row>
    <row r="9" spans="1:6">
      <c r="A9" s="277">
        <v>3</v>
      </c>
      <c r="B9" s="270">
        <f>B8*1.13</f>
        <v>5878.3142399999988</v>
      </c>
      <c r="C9" s="263">
        <f>C8*1.28</f>
        <v>2146.56</v>
      </c>
      <c r="D9" s="263">
        <f>D8*1.21</f>
        <v>7482.4282499999999</v>
      </c>
      <c r="E9" s="274">
        <f>E8*1.23</f>
        <v>1906.5</v>
      </c>
      <c r="F9" s="267">
        <f>F8*1.16</f>
        <v>118264.31999999999</v>
      </c>
    </row>
    <row r="10" spans="1:6">
      <c r="A10" s="277">
        <v>4</v>
      </c>
      <c r="B10" s="270">
        <f>B9*1.12</f>
        <v>6583.7119487999989</v>
      </c>
      <c r="C10" s="263">
        <f>C9*1.27</f>
        <v>2726.1311999999998</v>
      </c>
      <c r="D10" s="263">
        <f>D9*1.19</f>
        <v>8904.0896174999998</v>
      </c>
      <c r="E10" s="274">
        <f>E9*1.22</f>
        <v>2325.9299999999998</v>
      </c>
      <c r="F10" s="267">
        <f>F9*1.14</f>
        <v>134821.32479999997</v>
      </c>
    </row>
    <row r="11" spans="1:6">
      <c r="A11" s="277">
        <v>5</v>
      </c>
      <c r="B11" s="270">
        <f>B10*1.11</f>
        <v>7307.9202631679991</v>
      </c>
      <c r="C11" s="263">
        <f>C10*1.26</f>
        <v>3434.9253119999998</v>
      </c>
      <c r="D11" s="263">
        <f>D10*1.17</f>
        <v>10417.784852474999</v>
      </c>
      <c r="E11" s="274">
        <f>E10*1.21</f>
        <v>2814.3752999999997</v>
      </c>
      <c r="F11" s="267">
        <f>F10*1.12</f>
        <v>150999.88377599997</v>
      </c>
    </row>
    <row r="12" spans="1:6">
      <c r="A12" s="277">
        <v>6</v>
      </c>
      <c r="B12" s="270">
        <f>B11*1.1</f>
        <v>8038.7122894847998</v>
      </c>
      <c r="C12" s="263">
        <f>C11*1.25</f>
        <v>4293.6566400000002</v>
      </c>
      <c r="D12" s="263">
        <f>D11*1.15</f>
        <v>11980.452580346247</v>
      </c>
      <c r="E12" s="274">
        <f>E11*1.2</f>
        <v>3377.2503599999995</v>
      </c>
      <c r="F12" s="267">
        <f>F11*1.1</f>
        <v>166099.87215359998</v>
      </c>
    </row>
    <row r="13" spans="1:6">
      <c r="A13" s="277">
        <v>7</v>
      </c>
      <c r="B13" s="270">
        <f>B12*1.09</f>
        <v>8762.1963955384326</v>
      </c>
      <c r="C13" s="263">
        <f>C12*1.24</f>
        <v>5324.1342335999998</v>
      </c>
      <c r="D13" s="263">
        <f>D12*1.13</f>
        <v>13537.911415791259</v>
      </c>
      <c r="E13" s="274">
        <f>E12*1.19</f>
        <v>4018.9279283999995</v>
      </c>
      <c r="F13" s="267">
        <f>F12*1.08</f>
        <v>179387.86192588799</v>
      </c>
    </row>
    <row r="14" spans="1:6">
      <c r="A14" s="277">
        <v>8</v>
      </c>
      <c r="B14" s="270">
        <f>B13*1.08</f>
        <v>9463.1721071815082</v>
      </c>
      <c r="C14" s="263">
        <f>C13*1.23</f>
        <v>6548.6851073279995</v>
      </c>
      <c r="D14" s="263">
        <f>D13*1.11</f>
        <v>15027.081671528298</v>
      </c>
      <c r="E14" s="274">
        <f>E13*1.18</f>
        <v>4742.3349555119994</v>
      </c>
      <c r="F14" s="267">
        <f>F13*1.06</f>
        <v>190151.13364144129</v>
      </c>
    </row>
    <row r="15" spans="1:6">
      <c r="A15" s="277">
        <v>9</v>
      </c>
      <c r="B15" s="270">
        <f>B14*1.07</f>
        <v>10125.594154684215</v>
      </c>
      <c r="C15" s="263">
        <f>C14*1.22</f>
        <v>7989.3958309401596</v>
      </c>
      <c r="D15" s="263">
        <f>D14*1.09</f>
        <v>16379.519021965845</v>
      </c>
      <c r="E15" s="274">
        <f>E14*1.17</f>
        <v>5548.5318979490394</v>
      </c>
      <c r="F15" s="267">
        <f>F14*1.04</f>
        <v>197757.17898709895</v>
      </c>
    </row>
    <row r="16" spans="1:6" ht="15.75" thickBot="1">
      <c r="A16" s="278">
        <v>10</v>
      </c>
      <c r="B16" s="271">
        <f>B15*1.06</f>
        <v>10733.129803965268</v>
      </c>
      <c r="C16" s="264">
        <f>C15*1.21</f>
        <v>9667.1689554375935</v>
      </c>
      <c r="D16" s="264">
        <f>D15*1.07</f>
        <v>17526.085353503455</v>
      </c>
      <c r="E16" s="275">
        <f>E15*1.16</f>
        <v>6436.2970016208856</v>
      </c>
      <c r="F16" s="268">
        <f>F15*1.02</f>
        <v>201712.32256684091</v>
      </c>
    </row>
    <row r="20" spans="1:6" ht="15.75" thickBot="1">
      <c r="A20" t="s">
        <v>60</v>
      </c>
    </row>
    <row r="21" spans="1:6" ht="15.75" thickBot="1">
      <c r="A21" s="119" t="s">
        <v>439</v>
      </c>
      <c r="B21" s="251" t="s">
        <v>30</v>
      </c>
      <c r="C21" s="261" t="s">
        <v>31</v>
      </c>
      <c r="D21" s="261" t="s">
        <v>32</v>
      </c>
      <c r="E21" s="272" t="s">
        <v>73</v>
      </c>
      <c r="F21" s="265" t="s">
        <v>74</v>
      </c>
    </row>
    <row r="22" spans="1:6">
      <c r="A22" s="276">
        <v>0</v>
      </c>
      <c r="B22" s="269">
        <v>1000</v>
      </c>
      <c r="C22" s="262">
        <v>1000</v>
      </c>
      <c r="D22" s="262">
        <v>1000</v>
      </c>
      <c r="E22" s="273">
        <v>1000</v>
      </c>
      <c r="F22" s="266">
        <v>1000</v>
      </c>
    </row>
    <row r="23" spans="1:6">
      <c r="A23" s="277">
        <v>1</v>
      </c>
      <c r="B23" s="270">
        <f>B22*1.3</f>
        <v>1300</v>
      </c>
      <c r="C23" s="263">
        <f>C22*1.6</f>
        <v>1600</v>
      </c>
      <c r="D23" s="263">
        <f>D22*1.5</f>
        <v>1500</v>
      </c>
      <c r="E23" s="274">
        <f>E22*1.5</f>
        <v>1500</v>
      </c>
      <c r="F23" s="267">
        <f>F22*1.4</f>
        <v>1400</v>
      </c>
    </row>
    <row r="24" spans="1:6">
      <c r="A24" s="277">
        <v>2</v>
      </c>
      <c r="B24" s="270">
        <f>B23*1.25</f>
        <v>1625</v>
      </c>
      <c r="C24" s="263">
        <f>C23*1.51</f>
        <v>2416</v>
      </c>
      <c r="D24" s="263">
        <f>D23*1.45</f>
        <v>2175</v>
      </c>
      <c r="E24" s="274">
        <f>E23*1.49</f>
        <v>2235</v>
      </c>
      <c r="F24" s="267">
        <f>F23*1.35</f>
        <v>1890.0000000000002</v>
      </c>
    </row>
    <row r="25" spans="1:6">
      <c r="A25" s="277">
        <v>3</v>
      </c>
      <c r="B25" s="270">
        <f>B24*1.2</f>
        <v>1950</v>
      </c>
      <c r="C25" s="263">
        <f>C24*1.42</f>
        <v>3430.72</v>
      </c>
      <c r="D25" s="263">
        <f>D24*1.4</f>
        <v>3045</v>
      </c>
      <c r="E25" s="274">
        <f>E24*1.48</f>
        <v>3307.8</v>
      </c>
      <c r="F25" s="267">
        <f>F24*1.3</f>
        <v>2457.0000000000005</v>
      </c>
    </row>
    <row r="26" spans="1:6">
      <c r="A26" s="277">
        <v>4</v>
      </c>
      <c r="B26" s="270">
        <f>B25*1.15</f>
        <v>2242.5</v>
      </c>
      <c r="C26" s="263">
        <f>C25*1.33</f>
        <v>4562.8576000000003</v>
      </c>
      <c r="D26" s="263">
        <f>D25*1.35</f>
        <v>4110.75</v>
      </c>
      <c r="E26" s="274">
        <f>E25*1.47</f>
        <v>4862.4660000000003</v>
      </c>
      <c r="F26" s="267">
        <f>F25*1.25</f>
        <v>3071.2500000000005</v>
      </c>
    </row>
    <row r="27" spans="1:6">
      <c r="A27" s="277">
        <v>5</v>
      </c>
      <c r="B27" s="270">
        <f>B26*1.1</f>
        <v>2466.75</v>
      </c>
      <c r="C27" s="263">
        <f>C26*1.24</f>
        <v>5657.9434240000001</v>
      </c>
      <c r="D27" s="263">
        <f>D26*1.3</f>
        <v>5343.9750000000004</v>
      </c>
      <c r="E27" s="274">
        <f>E26*1.46</f>
        <v>7099.2003600000007</v>
      </c>
      <c r="F27" s="267">
        <f>F26*1.2</f>
        <v>3685.5000000000005</v>
      </c>
    </row>
    <row r="28" spans="1:6">
      <c r="A28" s="277">
        <v>6</v>
      </c>
      <c r="B28" s="270">
        <f>B27*1.05</f>
        <v>2590.0875000000001</v>
      </c>
      <c r="C28" s="263">
        <f>C27*1.15</f>
        <v>6506.6349375999998</v>
      </c>
      <c r="D28" s="263">
        <f>D27*1.25</f>
        <v>6679.96875</v>
      </c>
      <c r="E28" s="274">
        <f>E27*1.45</f>
        <v>10293.840522</v>
      </c>
      <c r="F28" s="267">
        <f>F27*1.15</f>
        <v>4238.3249999999998</v>
      </c>
    </row>
    <row r="29" spans="1:6">
      <c r="A29" s="277">
        <v>7</v>
      </c>
      <c r="B29" s="270">
        <f>B28*1</f>
        <v>2590.0875000000001</v>
      </c>
      <c r="C29" s="263">
        <f>C28*1.06</f>
        <v>6897.0330338559997</v>
      </c>
      <c r="D29" s="263">
        <f>D28*1.2</f>
        <v>8015.9624999999996</v>
      </c>
      <c r="E29" s="274">
        <f>E28*1.44</f>
        <v>14823.13035168</v>
      </c>
      <c r="F29" s="267">
        <f>F28*1.1</f>
        <v>4662.1575000000003</v>
      </c>
    </row>
    <row r="30" spans="1:6">
      <c r="A30" s="277">
        <v>8</v>
      </c>
      <c r="B30" s="270">
        <f>B29*1</f>
        <v>2590.0875000000001</v>
      </c>
      <c r="C30" s="263">
        <f>C29*1</f>
        <v>6897.0330338559997</v>
      </c>
      <c r="D30" s="263">
        <f>D29*1.15</f>
        <v>9218.3568749999995</v>
      </c>
      <c r="E30" s="274">
        <f>E29*1.43</f>
        <v>21197.076402902399</v>
      </c>
      <c r="F30" s="267">
        <f>F29*1.05</f>
        <v>4895.2653750000009</v>
      </c>
    </row>
    <row r="31" spans="1:6">
      <c r="A31" s="277">
        <v>9</v>
      </c>
      <c r="B31" s="270">
        <f>B30*1</f>
        <v>2590.0875000000001</v>
      </c>
      <c r="C31" s="263">
        <f>C30*1</f>
        <v>6897.0330338559997</v>
      </c>
      <c r="D31" s="263">
        <f>D30*1.1</f>
        <v>10140.1925625</v>
      </c>
      <c r="E31" s="274">
        <f>E30*1.42</f>
        <v>30099.848492121404</v>
      </c>
      <c r="F31" s="267">
        <f>F30*1</f>
        <v>4895.2653750000009</v>
      </c>
    </row>
    <row r="32" spans="1:6" ht="15.75" thickBot="1">
      <c r="A32" s="278">
        <v>10</v>
      </c>
      <c r="B32" s="271">
        <f>B31*1</f>
        <v>2590.0875000000001</v>
      </c>
      <c r="C32" s="264">
        <f>C31*1</f>
        <v>6897.0330338559997</v>
      </c>
      <c r="D32" s="264">
        <f>D31*1.05</f>
        <v>10647.202190625001</v>
      </c>
      <c r="E32" s="275">
        <f>E31*1.41</f>
        <v>42440.786373891176</v>
      </c>
      <c r="F32" s="268">
        <f>F31*1</f>
        <v>4895.2653750000009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CS113"/>
  <sheetViews>
    <sheetView workbookViewId="0">
      <pane xSplit="7" topLeftCell="H1" activePane="topRight" state="frozen"/>
      <selection pane="topRight" activeCell="A2" sqref="A2"/>
    </sheetView>
  </sheetViews>
  <sheetFormatPr baseColWidth="10" defaultRowHeight="15"/>
  <cols>
    <col min="1" max="1" width="17" customWidth="1"/>
    <col min="2" max="3" width="11.42578125" hidden="1" customWidth="1"/>
    <col min="5" max="5" width="9.85546875" customWidth="1"/>
    <col min="6" max="6" width="10.7109375" customWidth="1"/>
    <col min="7" max="7" width="9.42578125" customWidth="1"/>
    <col min="8" max="97" width="5.7109375" style="338" customWidth="1"/>
  </cols>
  <sheetData>
    <row r="2" spans="1:7" ht="21">
      <c r="A2" s="141" t="s">
        <v>737</v>
      </c>
      <c r="B2" s="141"/>
      <c r="C2" s="141"/>
    </row>
    <row r="3" spans="1:7" ht="15.75" thickBot="1"/>
    <row r="4" spans="1:7" ht="15.75" thickBot="1">
      <c r="A4" t="s">
        <v>736</v>
      </c>
      <c r="D4" s="553" t="s">
        <v>34</v>
      </c>
      <c r="E4" s="328">
        <v>1</v>
      </c>
    </row>
    <row r="5" spans="1:7" ht="15.75" thickBot="1">
      <c r="D5" s="553" t="s">
        <v>923</v>
      </c>
      <c r="E5" s="328">
        <v>1</v>
      </c>
    </row>
    <row r="6" spans="1:7" ht="15.75" thickBot="1">
      <c r="D6" s="12" t="s">
        <v>30</v>
      </c>
      <c r="E6" s="328">
        <v>100</v>
      </c>
      <c r="G6" s="542"/>
    </row>
    <row r="7" spans="1:7" ht="15.75" thickBot="1">
      <c r="D7" s="12" t="s">
        <v>387</v>
      </c>
      <c r="E7" s="328">
        <v>1</v>
      </c>
      <c r="F7" s="542" t="s">
        <v>946</v>
      </c>
      <c r="G7" s="295"/>
    </row>
    <row r="8" spans="1:7" ht="15.75" thickBot="1">
      <c r="D8" s="540" t="s">
        <v>895</v>
      </c>
      <c r="E8" s="329">
        <v>1</v>
      </c>
      <c r="F8" s="542" t="s">
        <v>925</v>
      </c>
      <c r="G8" s="77"/>
    </row>
    <row r="9" spans="1:7" ht="15.75" thickBot="1">
      <c r="D9" s="540" t="s">
        <v>893</v>
      </c>
      <c r="E9" s="329">
        <v>3</v>
      </c>
      <c r="F9" s="542" t="s">
        <v>924</v>
      </c>
      <c r="G9" s="295"/>
    </row>
    <row r="10" spans="1:7" ht="15.75" thickBot="1">
      <c r="D10" s="540" t="s">
        <v>927</v>
      </c>
      <c r="E10" s="329">
        <v>1</v>
      </c>
      <c r="F10" s="542" t="s">
        <v>926</v>
      </c>
      <c r="G10" s="295"/>
    </row>
    <row r="11" spans="1:7" ht="15.75" thickBot="1">
      <c r="D11" s="538"/>
      <c r="E11" s="295"/>
      <c r="F11" s="541"/>
      <c r="G11" s="295"/>
    </row>
    <row r="12" spans="1:7" ht="15.75" thickBot="1">
      <c r="A12" t="s">
        <v>735</v>
      </c>
      <c r="D12" s="12" t="s">
        <v>31</v>
      </c>
      <c r="E12" s="329">
        <v>430</v>
      </c>
    </row>
    <row r="13" spans="1:7" ht="15.75" thickBot="1">
      <c r="D13" s="12" t="s">
        <v>374</v>
      </c>
      <c r="E13" s="329">
        <v>100</v>
      </c>
    </row>
    <row r="14" spans="1:7" ht="15.75" thickBot="1">
      <c r="D14" s="540" t="s">
        <v>894</v>
      </c>
      <c r="E14" s="539">
        <v>1</v>
      </c>
      <c r="F14" s="542" t="s">
        <v>929</v>
      </c>
    </row>
    <row r="15" spans="1:7" ht="15.75" thickBot="1">
      <c r="D15" s="540" t="s">
        <v>928</v>
      </c>
      <c r="E15" s="329">
        <v>0.5</v>
      </c>
      <c r="F15" s="542" t="s">
        <v>896</v>
      </c>
    </row>
    <row r="16" spans="1:7">
      <c r="F16" s="538"/>
    </row>
    <row r="18" spans="1:97">
      <c r="A18" s="627" t="s">
        <v>747</v>
      </c>
      <c r="B18" s="110"/>
      <c r="C18" s="110"/>
      <c r="D18" s="330" t="s">
        <v>738</v>
      </c>
      <c r="E18" s="331">
        <f>((60*E6^1.2)/(E12+2200)+E6/20+5)/G19*E8*E9*E10*E14*E15*E4*E5*0.8</f>
        <v>18.876647264969193</v>
      </c>
    </row>
    <row r="19" spans="1:97" ht="45">
      <c r="A19" s="628"/>
      <c r="B19" s="25"/>
      <c r="C19" s="25"/>
      <c r="D19" s="332" t="s">
        <v>733</v>
      </c>
      <c r="E19" s="333">
        <f>((60*E6^1.2)/(E12+2200)+E6/20+5)/G19*E8*E9*E10*E14*E15*E4*E5</f>
        <v>23.595809081211492</v>
      </c>
      <c r="F19" s="336" t="s">
        <v>734</v>
      </c>
      <c r="G19" s="337">
        <f>ROUNDUP(E7/E13,0)</f>
        <v>1</v>
      </c>
    </row>
    <row r="20" spans="1:97">
      <c r="A20" s="629"/>
      <c r="B20" s="29"/>
      <c r="C20" s="29"/>
      <c r="D20" s="334" t="s">
        <v>739</v>
      </c>
      <c r="E20" s="335">
        <f>((60*E6^1.2)/(E12+2200)+E6/20+5)/G19*E8*E9*E10*E14*E15*E4*E5*1.2</f>
        <v>28.31497089745379</v>
      </c>
    </row>
    <row r="21" spans="1:97">
      <c r="A21" s="630" t="s">
        <v>748</v>
      </c>
      <c r="B21" s="110"/>
      <c r="C21" s="110"/>
      <c r="D21" s="330" t="s">
        <v>740</v>
      </c>
      <c r="E21" s="331">
        <f>((60*E6^1.2)/(E12+2200)+E6/20+5)/G19*E8*E9*E10*E14*E15*E4*E5*1.3</f>
        <v>30.674551805574939</v>
      </c>
    </row>
    <row r="22" spans="1:97">
      <c r="A22" s="631"/>
      <c r="B22" s="29"/>
      <c r="C22" s="29"/>
      <c r="D22" s="334" t="s">
        <v>741</v>
      </c>
      <c r="E22" s="335">
        <f>((60*E6^1.2)/(E12+2200)+E6/20+5)/G19*E8*E9*E10*E14*E15*E4*E5*1.7</f>
        <v>40.112875438059532</v>
      </c>
    </row>
    <row r="24" spans="1:97" s="110" customFormat="1">
      <c r="H24" s="364"/>
      <c r="I24" s="364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364"/>
      <c r="AU24" s="364"/>
      <c r="AV24" s="364"/>
      <c r="AW24" s="364"/>
      <c r="AX24" s="364"/>
      <c r="AY24" s="364"/>
      <c r="AZ24" s="364"/>
      <c r="BA24" s="364"/>
      <c r="BB24" s="364"/>
      <c r="BC24" s="364"/>
      <c r="BD24" s="364"/>
      <c r="BE24" s="364"/>
      <c r="BF24" s="364"/>
      <c r="BG24" s="364"/>
      <c r="BH24" s="364"/>
      <c r="BI24" s="364"/>
      <c r="BJ24" s="364"/>
      <c r="BK24" s="364"/>
      <c r="BL24" s="364"/>
      <c r="BM24" s="364"/>
      <c r="BN24" s="364"/>
      <c r="BO24" s="364"/>
      <c r="BP24" s="364"/>
      <c r="BQ24" s="364"/>
      <c r="BR24" s="364"/>
      <c r="BS24" s="364"/>
      <c r="BT24" s="364"/>
      <c r="BU24" s="364"/>
      <c r="BV24" s="364"/>
      <c r="BW24" s="364"/>
      <c r="BX24" s="364"/>
      <c r="BY24" s="364"/>
      <c r="BZ24" s="364"/>
      <c r="CA24" s="364"/>
      <c r="CB24" s="364"/>
      <c r="CC24" s="364"/>
      <c r="CD24" s="364"/>
      <c r="CE24" s="364"/>
      <c r="CF24" s="364"/>
      <c r="CG24" s="364"/>
      <c r="CH24" s="364"/>
      <c r="CI24" s="364"/>
      <c r="CJ24" s="364"/>
      <c r="CK24" s="364"/>
      <c r="CL24" s="364"/>
      <c r="CM24" s="364"/>
      <c r="CN24" s="364"/>
      <c r="CO24" s="364"/>
      <c r="CP24" s="364"/>
      <c r="CQ24" s="364"/>
      <c r="CR24" s="364"/>
      <c r="CS24" s="364"/>
    </row>
    <row r="26" spans="1:97" ht="21">
      <c r="A26" s="141" t="s">
        <v>760</v>
      </c>
    </row>
    <row r="27" spans="1:97" ht="15.75" thickBot="1">
      <c r="I27" s="338" t="s">
        <v>931</v>
      </c>
      <c r="L27" s="554" t="s">
        <v>932</v>
      </c>
      <c r="M27" s="554" t="s">
        <v>933</v>
      </c>
      <c r="N27" s="554" t="s">
        <v>934</v>
      </c>
      <c r="O27" s="554" t="s">
        <v>935</v>
      </c>
      <c r="P27" s="554" t="s">
        <v>936</v>
      </c>
      <c r="Q27" s="554" t="s">
        <v>937</v>
      </c>
      <c r="R27" s="554" t="s">
        <v>938</v>
      </c>
      <c r="S27" s="554" t="s">
        <v>939</v>
      </c>
      <c r="T27" s="554" t="s">
        <v>940</v>
      </c>
      <c r="U27" s="554" t="s">
        <v>941</v>
      </c>
      <c r="V27" s="554" t="s">
        <v>942</v>
      </c>
      <c r="W27" s="554"/>
      <c r="X27" s="554"/>
    </row>
    <row r="28" spans="1:97" ht="15.75" thickBot="1">
      <c r="F28" s="12" t="s">
        <v>30</v>
      </c>
      <c r="G28" s="329">
        <v>1200</v>
      </c>
      <c r="I28" s="338" t="s">
        <v>930</v>
      </c>
      <c r="L28" s="338">
        <f>$G$28/1.15/1.14/1.13/1.12/1.11/1.1/1.09/1.08/1.07/1.06</f>
        <v>443.635741574733</v>
      </c>
      <c r="M28" s="338">
        <f>$G$28/1.15/1.14/1.13/1.12/1.11/1.1/1.09/1.08/1.07</f>
        <v>470.253886069217</v>
      </c>
      <c r="N28" s="338">
        <f>$G$28/1.15/1.14/1.13/1.12/1.11/1.1/1.09/1.08</f>
        <v>503.1716580940622</v>
      </c>
      <c r="O28" s="338">
        <f>$G$28/1.15/1.14/1.13/1.12/1.11/1.1/1.09</f>
        <v>543.42539074158719</v>
      </c>
      <c r="P28" s="338">
        <f>$G$28/1.15/1.14/1.13/1.12/1.11/1.1</f>
        <v>592.33367590833006</v>
      </c>
      <c r="Q28" s="338">
        <f>$G$28/1.15/1.14/1.13/1.12/1.11</f>
        <v>651.56704349916311</v>
      </c>
      <c r="R28" s="338">
        <f>$G$28/1.15/1.14/1.13/1.12</f>
        <v>723.23941828407112</v>
      </c>
      <c r="S28" s="338">
        <f>$G$28/1.15/1.14/1.13</f>
        <v>810.02814847815978</v>
      </c>
      <c r="T28" s="338">
        <f>$G$28/1.15/1.14</f>
        <v>915.33180778032045</v>
      </c>
      <c r="U28" s="338">
        <f>$G$28/1.15</f>
        <v>1043.4782608695652</v>
      </c>
      <c r="V28" s="338">
        <f>$G$28</f>
        <v>1200</v>
      </c>
    </row>
    <row r="29" spans="1:97" ht="15.75" thickBot="1">
      <c r="F29" s="12" t="s">
        <v>387</v>
      </c>
      <c r="G29" s="329">
        <v>1</v>
      </c>
    </row>
    <row r="30" spans="1:97" ht="15" customHeight="1">
      <c r="E30" s="606" t="s">
        <v>764</v>
      </c>
      <c r="F30" s="633"/>
      <c r="G30" s="607">
        <v>0</v>
      </c>
    </row>
    <row r="31" spans="1:97">
      <c r="E31" s="606"/>
      <c r="F31" s="633"/>
      <c r="G31" s="608"/>
    </row>
    <row r="32" spans="1:97" ht="15.75" thickBot="1">
      <c r="E32" s="606"/>
      <c r="F32" s="633"/>
      <c r="G32" s="609"/>
    </row>
    <row r="33" spans="4:97" ht="15" customHeight="1">
      <c r="E33" s="606" t="s">
        <v>762</v>
      </c>
      <c r="F33" s="606"/>
      <c r="G33" s="607">
        <v>1</v>
      </c>
    </row>
    <row r="34" spans="4:97">
      <c r="E34" s="606"/>
      <c r="F34" s="606"/>
      <c r="G34" s="608"/>
    </row>
    <row r="35" spans="4:97" ht="15.75" thickBot="1">
      <c r="E35" s="606"/>
      <c r="F35" s="606"/>
      <c r="G35" s="609"/>
    </row>
    <row r="36" spans="4:97" ht="15" customHeight="1">
      <c r="E36" s="606" t="s">
        <v>763</v>
      </c>
      <c r="F36" s="606"/>
      <c r="G36" s="607">
        <v>0</v>
      </c>
    </row>
    <row r="37" spans="4:97">
      <c r="E37" s="606"/>
      <c r="F37" s="606"/>
      <c r="G37" s="608"/>
    </row>
    <row r="38" spans="4:97" ht="15.75" thickBot="1">
      <c r="E38" s="606"/>
      <c r="F38" s="606"/>
      <c r="G38" s="609"/>
    </row>
    <row r="39" spans="4:97" hidden="1">
      <c r="D39" s="602" t="s">
        <v>765</v>
      </c>
      <c r="H39" s="618" t="s">
        <v>33</v>
      </c>
      <c r="I39" s="619"/>
      <c r="J39" s="618" t="s">
        <v>37</v>
      </c>
      <c r="K39" s="619"/>
      <c r="L39" s="618" t="s">
        <v>35</v>
      </c>
      <c r="M39" s="619"/>
      <c r="N39" s="618" t="s">
        <v>36</v>
      </c>
      <c r="O39" s="619"/>
      <c r="P39" s="618" t="s">
        <v>405</v>
      </c>
      <c r="Q39" s="619"/>
      <c r="R39" s="618" t="s">
        <v>38</v>
      </c>
      <c r="S39" s="619"/>
      <c r="T39" s="618" t="s">
        <v>572</v>
      </c>
      <c r="U39" s="619"/>
      <c r="V39" s="618" t="s">
        <v>406</v>
      </c>
      <c r="W39" s="619"/>
      <c r="X39" s="618" t="s">
        <v>749</v>
      </c>
      <c r="Y39" s="619"/>
      <c r="Z39" s="618" t="s">
        <v>39</v>
      </c>
      <c r="AA39" s="619"/>
      <c r="AB39" s="618" t="s">
        <v>750</v>
      </c>
      <c r="AC39" s="619"/>
      <c r="AD39" s="618" t="s">
        <v>751</v>
      </c>
      <c r="AE39" s="619"/>
      <c r="AF39" s="618" t="s">
        <v>40</v>
      </c>
      <c r="AG39" s="619"/>
      <c r="AH39" s="618" t="s">
        <v>567</v>
      </c>
      <c r="AI39" s="619"/>
      <c r="AJ39" s="618" t="s">
        <v>41</v>
      </c>
      <c r="AK39" s="619"/>
      <c r="AL39" s="618" t="s">
        <v>42</v>
      </c>
      <c r="AM39" s="619"/>
      <c r="AN39" s="618" t="s">
        <v>590</v>
      </c>
      <c r="AO39" s="619"/>
      <c r="AP39" s="618" t="s">
        <v>43</v>
      </c>
      <c r="AQ39" s="619"/>
      <c r="AR39" s="618" t="s">
        <v>566</v>
      </c>
      <c r="AS39" s="619"/>
      <c r="AT39" s="618" t="s">
        <v>44</v>
      </c>
      <c r="AU39" s="619"/>
      <c r="AV39" s="618" t="s">
        <v>754</v>
      </c>
      <c r="AW39" s="619"/>
      <c r="AX39" s="618" t="s">
        <v>755</v>
      </c>
      <c r="AY39" s="619"/>
      <c r="AZ39" s="618" t="s">
        <v>756</v>
      </c>
      <c r="BA39" s="619"/>
      <c r="BB39" s="618" t="s">
        <v>757</v>
      </c>
      <c r="BC39" s="619"/>
      <c r="BD39" s="618" t="s">
        <v>45</v>
      </c>
      <c r="BE39" s="619"/>
      <c r="BF39" s="618" t="s">
        <v>752</v>
      </c>
      <c r="BG39" s="619"/>
      <c r="BH39" s="618" t="s">
        <v>46</v>
      </c>
      <c r="BI39" s="619"/>
      <c r="BJ39" s="618" t="s">
        <v>47</v>
      </c>
      <c r="BK39" s="619"/>
      <c r="BL39" s="618" t="s">
        <v>48</v>
      </c>
      <c r="BM39" s="619"/>
      <c r="BN39" s="618" t="s">
        <v>570</v>
      </c>
      <c r="BO39" s="619"/>
      <c r="BP39" s="618" t="s">
        <v>595</v>
      </c>
      <c r="BQ39" s="619"/>
      <c r="BR39" s="618" t="s">
        <v>51</v>
      </c>
      <c r="BS39" s="619"/>
      <c r="BT39" s="618" t="s">
        <v>568</v>
      </c>
      <c r="BU39" s="619"/>
      <c r="BV39" s="618" t="s">
        <v>49</v>
      </c>
      <c r="BW39" s="619"/>
      <c r="BX39" s="618" t="s">
        <v>565</v>
      </c>
      <c r="BY39" s="619"/>
      <c r="BZ39" s="618" t="s">
        <v>57</v>
      </c>
      <c r="CA39" s="619"/>
      <c r="CB39" s="618" t="s">
        <v>50</v>
      </c>
      <c r="CC39" s="619"/>
      <c r="CD39" s="618" t="s">
        <v>618</v>
      </c>
      <c r="CE39" s="619"/>
      <c r="CF39" s="618" t="s">
        <v>619</v>
      </c>
      <c r="CG39" s="619"/>
      <c r="CH39" s="618" t="s">
        <v>52</v>
      </c>
      <c r="CI39" s="619"/>
      <c r="CJ39" s="618" t="s">
        <v>53</v>
      </c>
      <c r="CK39" s="619"/>
      <c r="CL39" s="618" t="s">
        <v>54</v>
      </c>
      <c r="CM39" s="619"/>
      <c r="CN39" s="618" t="s">
        <v>55</v>
      </c>
      <c r="CO39" s="619"/>
      <c r="CP39" s="618" t="s">
        <v>628</v>
      </c>
      <c r="CQ39" s="619"/>
      <c r="CR39" s="618" t="s">
        <v>629</v>
      </c>
      <c r="CS39" s="619"/>
    </row>
    <row r="40" spans="4:97" hidden="1">
      <c r="D40" s="634"/>
      <c r="E40" s="617" t="s">
        <v>761</v>
      </c>
      <c r="F40" s="617"/>
      <c r="G40" s="617"/>
      <c r="H40" s="616">
        <f>ROUNDUP($G$29/H$92,0)</f>
        <v>1</v>
      </c>
      <c r="I40" s="616"/>
      <c r="J40" s="616">
        <f>ROUNDUP($G$29/J$92,0)</f>
        <v>1</v>
      </c>
      <c r="K40" s="616"/>
      <c r="L40" s="616">
        <f>ROUNDUP($G$29/L$92,0)</f>
        <v>1</v>
      </c>
      <c r="M40" s="616"/>
      <c r="N40" s="616">
        <f>ROUNDUP($G$29/N$92,0)</f>
        <v>1</v>
      </c>
      <c r="O40" s="616"/>
      <c r="P40" s="616">
        <f>ROUNDUP($G$29/P$92,0)</f>
        <v>1</v>
      </c>
      <c r="Q40" s="616"/>
      <c r="R40" s="616">
        <f>ROUNDUP($G$29/R$92,0)</f>
        <v>1</v>
      </c>
      <c r="S40" s="616"/>
      <c r="T40" s="616">
        <f>ROUNDUP($G$29/T$92,0)</f>
        <v>1</v>
      </c>
      <c r="U40" s="616"/>
      <c r="V40" s="616">
        <f>ROUNDUP($G$29/V$92,0)</f>
        <v>1</v>
      </c>
      <c r="W40" s="616"/>
      <c r="X40" s="616">
        <f>ROUNDUP($G$29/X$92,0)</f>
        <v>1</v>
      </c>
      <c r="Y40" s="616"/>
      <c r="Z40" s="616">
        <f>ROUNDUP($G$29/Z$92,0)</f>
        <v>1</v>
      </c>
      <c r="AA40" s="616"/>
      <c r="AB40" s="616">
        <f>ROUNDUP($G$29/AB$92,0)</f>
        <v>1</v>
      </c>
      <c r="AC40" s="616"/>
      <c r="AD40" s="616">
        <f>ROUNDUP($G$29/AD$92,0)</f>
        <v>1</v>
      </c>
      <c r="AE40" s="616"/>
      <c r="AF40" s="616">
        <f>ROUNDUP($G$29/AF$92,0)</f>
        <v>1</v>
      </c>
      <c r="AG40" s="616"/>
      <c r="AH40" s="616">
        <f>ROUNDUP($G$29/AH$92,0)</f>
        <v>1</v>
      </c>
      <c r="AI40" s="616"/>
      <c r="AJ40" s="616">
        <f>ROUNDUP($G$29/AJ$92,0)</f>
        <v>1</v>
      </c>
      <c r="AK40" s="616"/>
      <c r="AL40" s="616">
        <f>ROUNDUP($G$29/AL$92,0)</f>
        <v>1</v>
      </c>
      <c r="AM40" s="616"/>
      <c r="AN40" s="616">
        <f>ROUNDUP($G$29/AN$92,0)</f>
        <v>1</v>
      </c>
      <c r="AO40" s="616"/>
      <c r="AP40" s="616">
        <f>ROUNDUP($G$29/AP$92,0)</f>
        <v>1</v>
      </c>
      <c r="AQ40" s="616"/>
      <c r="AR40" s="616">
        <f>ROUNDUP($G$29/AR$92,0)</f>
        <v>1</v>
      </c>
      <c r="AS40" s="616"/>
      <c r="AT40" s="616">
        <f>ROUNDUP($G$29/AT$92,0)</f>
        <v>1</v>
      </c>
      <c r="AU40" s="616"/>
      <c r="AV40" s="616">
        <f>ROUNDUP($G$29/AV$92,0)</f>
        <v>1</v>
      </c>
      <c r="AW40" s="616"/>
      <c r="AX40" s="616">
        <f>ROUNDUP($G$29/AX$92,0)</f>
        <v>1</v>
      </c>
      <c r="AY40" s="616"/>
      <c r="AZ40" s="616">
        <f>ROUNDUP($G$29/AZ$92,0)</f>
        <v>1</v>
      </c>
      <c r="BA40" s="616"/>
      <c r="BB40" s="616">
        <f>ROUNDUP($G$29/BB$92,0)</f>
        <v>1</v>
      </c>
      <c r="BC40" s="616"/>
      <c r="BD40" s="616">
        <f>ROUNDUP($G$29/BD$92,0)</f>
        <v>1</v>
      </c>
      <c r="BE40" s="616"/>
      <c r="BF40" s="616">
        <f>ROUNDUP($G$29/BF$92,0)</f>
        <v>1</v>
      </c>
      <c r="BG40" s="616"/>
      <c r="BH40" s="616">
        <f>ROUNDUP($G$29/BH$92,0)</f>
        <v>1</v>
      </c>
      <c r="BI40" s="616"/>
      <c r="BJ40" s="616">
        <f>ROUNDUP($G$29/BJ$92,0)</f>
        <v>1</v>
      </c>
      <c r="BK40" s="616"/>
      <c r="BL40" s="616">
        <f>ROUNDUP($G$29/BL$92,0)</f>
        <v>1</v>
      </c>
      <c r="BM40" s="616"/>
      <c r="BN40" s="616">
        <f>ROUNDUP($G$29/BN$92,0)</f>
        <v>1</v>
      </c>
      <c r="BO40" s="616"/>
      <c r="BP40" s="616">
        <f>ROUNDUP($G$29/BP$92,0)</f>
        <v>1</v>
      </c>
      <c r="BQ40" s="616"/>
      <c r="BR40" s="616">
        <f>ROUNDUP($G$29/BR$92,0)</f>
        <v>1</v>
      </c>
      <c r="BS40" s="616"/>
      <c r="BT40" s="616">
        <f>ROUNDUP($G$29/BT$92,0)</f>
        <v>1</v>
      </c>
      <c r="BU40" s="616"/>
      <c r="BV40" s="616">
        <f>ROUNDUP($G$29/BV$92,0)</f>
        <v>1</v>
      </c>
      <c r="BW40" s="616"/>
      <c r="BX40" s="616">
        <f>ROUNDUP($G$29/BX$92,0)</f>
        <v>1</v>
      </c>
      <c r="BY40" s="616"/>
      <c r="BZ40" s="616">
        <f>ROUNDUP($G$29/BZ$92,0)</f>
        <v>1</v>
      </c>
      <c r="CA40" s="616"/>
      <c r="CB40" s="616">
        <f>ROUNDUP($G$29/CB$92,0)</f>
        <v>1</v>
      </c>
      <c r="CC40" s="616"/>
      <c r="CD40" s="616">
        <f>ROUNDUP($G$29/CD$92,0)</f>
        <v>1</v>
      </c>
      <c r="CE40" s="616"/>
      <c r="CF40" s="616">
        <f>ROUNDUP($G$29/CF$92,0)</f>
        <v>1</v>
      </c>
      <c r="CG40" s="616"/>
      <c r="CH40" s="616">
        <f>ROUNDUP($G$29/CH$92,0)</f>
        <v>1</v>
      </c>
      <c r="CI40" s="616"/>
      <c r="CJ40" s="616">
        <f>ROUNDUP($G$29/CJ$92,0)</f>
        <v>1</v>
      </c>
      <c r="CK40" s="616"/>
      <c r="CL40" s="616">
        <f>ROUNDUP($G$29/CL$92,0)</f>
        <v>1</v>
      </c>
      <c r="CM40" s="616"/>
      <c r="CN40" s="616">
        <f>ROUNDUP($G$29/CN$92,0)</f>
        <v>1</v>
      </c>
      <c r="CO40" s="616"/>
      <c r="CP40" s="616">
        <f>ROUNDUP($G$29/CP$92,0)</f>
        <v>1</v>
      </c>
      <c r="CQ40" s="616"/>
      <c r="CR40" s="616">
        <f>ROUNDUP($G$29/CR$92,0)</f>
        <v>1</v>
      </c>
      <c r="CS40" s="616"/>
    </row>
    <row r="41" spans="4:97" hidden="1">
      <c r="D41" s="634"/>
      <c r="G41" t="s">
        <v>738</v>
      </c>
      <c r="H41" s="616">
        <f>(((60*$G$28^1.2)/(H$90+2200)+$G$28/20+5)/H$40*0.8)</f>
        <v>159.37050656361271</v>
      </c>
      <c r="I41" s="616"/>
      <c r="J41" s="616">
        <f>(((60*$G$28^1.2)/(J$90+2200)+$G$28/20+5)/J$40*0.8)</f>
        <v>159.37050656361271</v>
      </c>
      <c r="K41" s="616"/>
      <c r="L41" s="616">
        <f>(((60*$G$28^1.2)/(L$90+2200)+$G$28/20+5)/L$40*0.8)</f>
        <v>159.12868109837933</v>
      </c>
      <c r="M41" s="616"/>
      <c r="N41" s="616">
        <f>(((60*$G$28^1.2)/(N$90+2200)+$G$28/20+5)/N$40*0.8)</f>
        <v>158.17217501714379</v>
      </c>
      <c r="O41" s="616"/>
      <c r="P41" s="616">
        <f>(((60*$G$28^1.2)/(P$90+2200)+$G$28/20+5)/P$40*0.8)</f>
        <v>156.30950528000093</v>
      </c>
      <c r="Q41" s="616"/>
      <c r="R41" s="616">
        <f>(((60*$G$28^1.2)/(R$90+2200)+$G$28/20+5)/R$40*0.8)</f>
        <v>155.17816574334148</v>
      </c>
      <c r="S41" s="616"/>
      <c r="T41" s="616">
        <f>(((60*$G$28^1.2)/(T$90+2200)+$G$28/20+5)/T$40*0.8)</f>
        <v>159.12868109837933</v>
      </c>
      <c r="U41" s="616"/>
      <c r="V41" s="616">
        <f>(((60*$G$28^1.2)/(V$90+2200)+$G$28/20+5)/V$40*0.8)</f>
        <v>150.68285146821663</v>
      </c>
      <c r="W41" s="616"/>
      <c r="X41" s="616">
        <f>(((60*$G$28^1.2)/(X$90+2200)+$G$28/20+5)/X$40*0.8)</f>
        <v>156.76901851911987</v>
      </c>
      <c r="Y41" s="616"/>
      <c r="Z41" s="616">
        <f>(((60*$G$28^1.2)/(Z$90+2200)+$G$28/20+5)/Z$40*0.8)</f>
        <v>147.13026881536084</v>
      </c>
      <c r="AA41" s="616"/>
      <c r="AB41" s="616">
        <f>(((60*$G$28^1.2)/(AB$90+2200)+$G$28/20+5)/AB$40*0.8)</f>
        <v>108.62516000914334</v>
      </c>
      <c r="AC41" s="616"/>
      <c r="AD41" s="616">
        <f>(((60*$G$28^1.2)/(AD$90+2200)+$G$28/20+5)/AD$40*0.8)</f>
        <v>146.18838496570379</v>
      </c>
      <c r="AE41" s="616"/>
      <c r="AF41" s="616">
        <f>(((60*$G$28^1.2)/(AF$90+2200)+$G$28/20+5)/AF$40*0.8)</f>
        <v>128.71795872206519</v>
      </c>
      <c r="AG41" s="616"/>
      <c r="AH41" s="616">
        <f>(((60*$G$28^1.2)/(AH$90+2200)+$G$28/20+5)/AH$40*0.8)</f>
        <v>155.40246610365307</v>
      </c>
      <c r="AI41" s="616"/>
      <c r="AJ41" s="616">
        <f>(((60*$G$28^1.2)/(AJ$90+2200)+$G$28/20+5)/AJ$40*0.8)</f>
        <v>136.93774001371503</v>
      </c>
      <c r="AK41" s="616"/>
      <c r="AL41" s="616">
        <f>(((60*$G$28^1.2)/(AL$90+2200)+$G$28/20+5)/AL$40*0.8)</f>
        <v>121.94872707011828</v>
      </c>
      <c r="AM41" s="616"/>
      <c r="AN41" s="616">
        <f>(((60*$G$28^1.2)/(AN$90+2200)+$G$28/20+5)/AN$40*0.8)</f>
        <v>119.95019201097203</v>
      </c>
      <c r="AO41" s="616"/>
      <c r="AP41" s="616">
        <f>(((60*$G$28^1.2)/(AP$90+2200)+$G$28/20+5)/AP$40*0.8)</f>
        <v>134.57835834666739</v>
      </c>
      <c r="AQ41" s="616"/>
      <c r="AR41" s="616">
        <f>(((60*$G$28^1.2)/(AR$90+2200)+$G$28/20+5)/AR$40*0.8)</f>
        <v>131.27522401280072</v>
      </c>
      <c r="AS41" s="616"/>
      <c r="AT41" s="616">
        <f>(((60*$G$28^1.2)/(AT$90+2200)+$G$28/20+5)/AT$40*0.8)</f>
        <v>126.78794718188745</v>
      </c>
      <c r="AU41" s="616"/>
      <c r="AV41" s="616">
        <f>(((60*$G$28^1.2)/(AV$90+2200)+$G$28/20+5)/AV$40*0.8)</f>
        <v>143.47141232246236</v>
      </c>
      <c r="AW41" s="616"/>
      <c r="AX41" s="616">
        <f>(((60*$G$28^1.2)/(AX$90+2200)+$G$28/20+5)/AX$40*0.8)</f>
        <v>143.47141232246236</v>
      </c>
      <c r="AY41" s="616"/>
      <c r="AZ41" s="616">
        <f>(((60*$G$28^1.2)/(AZ$90+2200)+$G$28/20+5)/AZ$40*0.8)</f>
        <v>143.47141232246236</v>
      </c>
      <c r="BA41" s="616"/>
      <c r="BB41" s="616">
        <f>(((60*$G$28^1.2)/(BB$90+2200)+$G$28/20+5)/BB$40*0.8)</f>
        <v>143.47141232246236</v>
      </c>
      <c r="BC41" s="616"/>
      <c r="BD41" s="616">
        <f>(((60*$G$28^1.2)/(BD$90+2200)+$G$28/20+5)/BD$40*0.8)</f>
        <v>116.27720865902759</v>
      </c>
      <c r="BE41" s="616"/>
      <c r="BF41" s="616">
        <f>(((60*$G$28^1.2)/(BF$90+2200)+$G$28/20+5)/BF$40*0.8)</f>
        <v>126.32052251200066</v>
      </c>
      <c r="BG41" s="616"/>
      <c r="BH41" s="616">
        <f>(((60*$G$28^1.2)/(BH$90+2200)+$G$28/20+5)/BH$40*0.8)</f>
        <v>93.723802112000371</v>
      </c>
      <c r="BI41" s="616"/>
      <c r="BJ41" s="616">
        <f>(((60*$G$28^1.2)/(BJ$90+2200)+$G$28/20+5)/BJ$40*0.8)</f>
        <v>97.735706161231178</v>
      </c>
      <c r="BK41" s="616"/>
      <c r="BL41" s="616">
        <f>(((60*$G$28^1.2)/(BL$90+2200)+$G$28/20+5)/BL$40*0.8)</f>
        <v>112.98094154830824</v>
      </c>
      <c r="BM41" s="616"/>
      <c r="BN41" s="616">
        <f>(((60*$G$28^1.2)/(BN$90+2200)+$G$28/20+5)/BN$40*0.8)</f>
        <v>116.27720865902759</v>
      </c>
      <c r="BO41" s="616"/>
      <c r="BP41" s="616">
        <f>(((60*$G$28^1.2)/(BP$90+2200)+$G$28/20+5)/BP$40*0.8)</f>
        <v>128.71795872206519</v>
      </c>
      <c r="BQ41" s="616"/>
      <c r="BR41" s="616">
        <f>(((60*$G$28^1.2)/(BR$90+2200)+$G$28/20+5)/BR$40*0.8)</f>
        <v>84.138604329513797</v>
      </c>
      <c r="BS41" s="616"/>
      <c r="BT41" s="616">
        <f>(((60*$G$28^1.2)/(BT$90+2200)+$G$28/20+5)/BT$40*0.8)</f>
        <v>97.735706161231178</v>
      </c>
      <c r="BU41" s="616"/>
      <c r="BV41" s="616">
        <f>(((60*$G$28^1.2)/(BV$90+2200)+$G$28/20+5)/BV$40*0.8)</f>
        <v>87.496368960955536</v>
      </c>
      <c r="BW41" s="616"/>
      <c r="BX41" s="616">
        <f>(((60*$G$28^1.2)/(BX$90+2200)+$G$28/20+5)/BX$40*0.8)</f>
        <v>82.490470774154119</v>
      </c>
      <c r="BY41" s="616"/>
      <c r="BZ41" s="616">
        <f>(((60*$G$28^1.2)/(BZ$90+2200)+$G$28/20+5)/BZ$40*0.8)</f>
        <v>116.27720865902759</v>
      </c>
      <c r="CA41" s="616"/>
      <c r="CB41" s="616">
        <f>(((60*$G$28^1.2)/(CB$90+2200)+$G$28/20+5)/CB$40*0.8)</f>
        <v>77.300603408340649</v>
      </c>
      <c r="CC41" s="616"/>
      <c r="CD41" s="616">
        <f>(((60*$G$28^1.2)/(CD$90+2200)+$G$28/20+5)/CD$40*0.8)</f>
        <v>71.493907544131318</v>
      </c>
      <c r="CE41" s="616"/>
      <c r="CF41" s="616">
        <f>(((60*$G$28^1.2)/(CF$90+2200)+$G$28/20+5)/CF$40*0.8)</f>
        <v>131.27522401280072</v>
      </c>
      <c r="CG41" s="616"/>
      <c r="CH41" s="616">
        <f>(((60*$G$28^1.2)/(CH$90+2200)+$G$28/20+5)/CH$40*0.8)</f>
        <v>125.40298519703771</v>
      </c>
      <c r="CI41" s="616"/>
      <c r="CJ41" s="616">
        <f>(((60*$G$28^1.2)/(CJ$90+2200)+$G$28/20+5)/CJ$40*0.8)</f>
        <v>131.54035854127162</v>
      </c>
      <c r="CK41" s="616"/>
      <c r="CL41" s="616">
        <f>(((60*$G$28^1.2)/(CL$90+2200)+$G$28/20+5)/CL$40*0.8)</f>
        <v>127.50021334552449</v>
      </c>
      <c r="CM41" s="616"/>
      <c r="CN41" s="616">
        <f>(((60*$G$28^1.2)/(CN$90+2200)+$G$28/20+5)/CN$40*0.8)</f>
        <v>66.68059703940753</v>
      </c>
      <c r="CO41" s="616"/>
      <c r="CP41" s="616">
        <f>(((60*$G$28^1.2)/(CP$90+2200)+$G$28/20+5)/CP$40*0.8)</f>
        <v>156.30950528000093</v>
      </c>
      <c r="CQ41" s="616"/>
      <c r="CR41" s="616">
        <f>(((60*$G$28^1.2)/(CR$90+2200)+$G$28/20+5)/CR$40*0.8)</f>
        <v>54.327061370238766</v>
      </c>
      <c r="CS41" s="616"/>
    </row>
    <row r="42" spans="4:97" hidden="1">
      <c r="D42" s="634"/>
      <c r="G42" t="s">
        <v>739</v>
      </c>
      <c r="H42" s="616">
        <f>(((60*$G$28^1.2)/(H$90+2200)+$G$28/20+5)/H$40*1.2)</f>
        <v>239.055759845419</v>
      </c>
      <c r="I42" s="616"/>
      <c r="J42" s="616">
        <f>(((60*$G$28^1.2)/(J$90+2200)+$G$28/20+5)/J$40*1.2)</f>
        <v>239.055759845419</v>
      </c>
      <c r="K42" s="616"/>
      <c r="L42" s="616">
        <f>(((60*$G$28^1.2)/(L$90+2200)+$G$28/20+5)/L$40*1.2)</f>
        <v>238.69302164756897</v>
      </c>
      <c r="M42" s="616"/>
      <c r="N42" s="616">
        <f>(((60*$G$28^1.2)/(N$90+2200)+$G$28/20+5)/N$40*1.2)</f>
        <v>237.25826252571568</v>
      </c>
      <c r="O42" s="616"/>
      <c r="P42" s="616">
        <f>(((60*$G$28^1.2)/(P$90+2200)+$G$28/20+5)/P$40*1.2)</f>
        <v>234.46425792000136</v>
      </c>
      <c r="Q42" s="616"/>
      <c r="R42" s="616">
        <f>(((60*$G$28^1.2)/(R$90+2200)+$G$28/20+5)/R$40*1.2)</f>
        <v>232.76724861501219</v>
      </c>
      <c r="S42" s="616"/>
      <c r="T42" s="616">
        <f>(((60*$G$28^1.2)/(T$90+2200)+$G$28/20+5)/T$40*1.2)</f>
        <v>238.69302164756897</v>
      </c>
      <c r="U42" s="616"/>
      <c r="V42" s="616">
        <f>(((60*$G$28^1.2)/(V$90+2200)+$G$28/20+5)/V$40*1.2)</f>
        <v>226.02427720232495</v>
      </c>
      <c r="W42" s="616"/>
      <c r="X42" s="616">
        <f>(((60*$G$28^1.2)/(X$90+2200)+$G$28/20+5)/X$40*1.2)</f>
        <v>235.1535277786798</v>
      </c>
      <c r="Y42" s="616"/>
      <c r="Z42" s="616">
        <f>(((60*$G$28^1.2)/(Z$90+2200)+$G$28/20+5)/Z$40*1.2)</f>
        <v>220.69540322304127</v>
      </c>
      <c r="AA42" s="616"/>
      <c r="AB42" s="616">
        <f>(((60*$G$28^1.2)/(AB$90+2200)+$G$28/20+5)/AB$40*1.2)</f>
        <v>162.937740013715</v>
      </c>
      <c r="AC42" s="616"/>
      <c r="AD42" s="616">
        <f>(((60*$G$28^1.2)/(AD$90+2200)+$G$28/20+5)/AD$40*1.2)</f>
        <v>219.28257744855568</v>
      </c>
      <c r="AE42" s="616"/>
      <c r="AF42" s="616">
        <f>(((60*$G$28^1.2)/(AF$90+2200)+$G$28/20+5)/AF$40*1.2)</f>
        <v>193.07693808309779</v>
      </c>
      <c r="AG42" s="616"/>
      <c r="AH42" s="616">
        <f>(((60*$G$28^1.2)/(AH$90+2200)+$G$28/20+5)/AH$40*1.2)</f>
        <v>233.1036991554796</v>
      </c>
      <c r="AI42" s="616"/>
      <c r="AJ42" s="616">
        <f>(((60*$G$28^1.2)/(AJ$90+2200)+$G$28/20+5)/AJ$40*1.2)</f>
        <v>205.40661002057254</v>
      </c>
      <c r="AK42" s="616"/>
      <c r="AL42" s="616">
        <f>(((60*$G$28^1.2)/(AL$90+2200)+$G$28/20+5)/AL$40*1.2)</f>
        <v>182.92309060517741</v>
      </c>
      <c r="AM42" s="616"/>
      <c r="AN42" s="616">
        <f>(((60*$G$28^1.2)/(AN$90+2200)+$G$28/20+5)/AN$40*1.2)</f>
        <v>179.92528801645804</v>
      </c>
      <c r="AO42" s="616"/>
      <c r="AP42" s="616">
        <f>(((60*$G$28^1.2)/(AP$90+2200)+$G$28/20+5)/AP$40*1.2)</f>
        <v>201.86753752000109</v>
      </c>
      <c r="AQ42" s="616"/>
      <c r="AR42" s="616">
        <f>(((60*$G$28^1.2)/(AR$90+2200)+$G$28/20+5)/AR$40*1.2)</f>
        <v>196.91283601920105</v>
      </c>
      <c r="AS42" s="616"/>
      <c r="AT42" s="616">
        <f>(((60*$G$28^1.2)/(AT$90+2200)+$G$28/20+5)/AT$40*1.2)</f>
        <v>190.18192077283115</v>
      </c>
      <c r="AU42" s="616"/>
      <c r="AV42" s="616">
        <f>(((60*$G$28^1.2)/(AV$90+2200)+$G$28/20+5)/AV$40*1.2)</f>
        <v>215.20711848369353</v>
      </c>
      <c r="AW42" s="616"/>
      <c r="AX42" s="616">
        <f>(((60*$G$28^1.2)/(AX$90+2200)+$G$28/20+5)/AX$40*1.2)</f>
        <v>215.20711848369353</v>
      </c>
      <c r="AY42" s="616"/>
      <c r="AZ42" s="616">
        <f>(((60*$G$28^1.2)/(AZ$90+2200)+$G$28/20+5)/AZ$40*1.2)</f>
        <v>215.20711848369353</v>
      </c>
      <c r="BA42" s="616"/>
      <c r="BB42" s="616">
        <f>(((60*$G$28^1.2)/(BB$90+2200)+$G$28/20+5)/BB$40*1.2)</f>
        <v>215.20711848369353</v>
      </c>
      <c r="BC42" s="616"/>
      <c r="BD42" s="616">
        <f>(((60*$G$28^1.2)/(BD$90+2200)+$G$28/20+5)/BD$40*1.2)</f>
        <v>174.41581298854138</v>
      </c>
      <c r="BE42" s="616"/>
      <c r="BF42" s="616">
        <f>(((60*$G$28^1.2)/(BF$90+2200)+$G$28/20+5)/BF$40*1.2)</f>
        <v>189.48078376800098</v>
      </c>
      <c r="BG42" s="616"/>
      <c r="BH42" s="616">
        <f>(((60*$G$28^1.2)/(BH$90+2200)+$G$28/20+5)/BH$40*1.2)</f>
        <v>140.58570316800055</v>
      </c>
      <c r="BI42" s="616"/>
      <c r="BJ42" s="616">
        <f>(((60*$G$28^1.2)/(BJ$90+2200)+$G$28/20+5)/BJ$40*1.2)</f>
        <v>146.60355924184677</v>
      </c>
      <c r="BK42" s="616"/>
      <c r="BL42" s="616">
        <f>(((60*$G$28^1.2)/(BL$90+2200)+$G$28/20+5)/BL$40*1.2)</f>
        <v>169.47141232246236</v>
      </c>
      <c r="BM42" s="616"/>
      <c r="BN42" s="616">
        <f>(((60*$G$28^1.2)/(BN$90+2200)+$G$28/20+5)/BN$40*1.2)</f>
        <v>174.41581298854138</v>
      </c>
      <c r="BO42" s="616"/>
      <c r="BP42" s="616">
        <f>(((60*$G$28^1.2)/(BP$90+2200)+$G$28/20+5)/BP$40*1.2)</f>
        <v>193.07693808309779</v>
      </c>
      <c r="BQ42" s="616"/>
      <c r="BR42" s="616">
        <f>(((60*$G$28^1.2)/(BR$90+2200)+$G$28/20+5)/BR$40*1.2)</f>
        <v>126.20790649427069</v>
      </c>
      <c r="BS42" s="616"/>
      <c r="BT42" s="616">
        <f>(((60*$G$28^1.2)/(BT$90+2200)+$G$28/20+5)/BT$40*1.2)</f>
        <v>146.60355924184677</v>
      </c>
      <c r="BU42" s="616"/>
      <c r="BV42" s="616">
        <f>(((60*$G$28^1.2)/(BV$90+2200)+$G$28/20+5)/BV$40*1.2)</f>
        <v>131.24455344143328</v>
      </c>
      <c r="BW42" s="616"/>
      <c r="BX42" s="616">
        <f>(((60*$G$28^1.2)/(BX$90+2200)+$G$28/20+5)/BX$40*1.2)</f>
        <v>123.73570616123118</v>
      </c>
      <c r="BY42" s="616"/>
      <c r="BZ42" s="616">
        <f>(((60*$G$28^1.2)/(BZ$90+2200)+$G$28/20+5)/BZ$40*1.2)</f>
        <v>174.41581298854138</v>
      </c>
      <c r="CA42" s="616"/>
      <c r="CB42" s="616">
        <f>(((60*$G$28^1.2)/(CB$90+2200)+$G$28/20+5)/CB$40*1.2)</f>
        <v>115.95090511251097</v>
      </c>
      <c r="CC42" s="616"/>
      <c r="CD42" s="616">
        <f>(((60*$G$28^1.2)/(CD$90+2200)+$G$28/20+5)/CD$40*1.2)</f>
        <v>107.24086131619698</v>
      </c>
      <c r="CE42" s="616"/>
      <c r="CF42" s="616">
        <f>(((60*$G$28^1.2)/(CF$90+2200)+$G$28/20+5)/CF$40*1.2)</f>
        <v>196.91283601920105</v>
      </c>
      <c r="CG42" s="616"/>
      <c r="CH42" s="616">
        <f>(((60*$G$28^1.2)/(CH$90+2200)+$G$28/20+5)/CH$40*1.2)</f>
        <v>188.10447779555653</v>
      </c>
      <c r="CI42" s="616"/>
      <c r="CJ42" s="616">
        <f>(((60*$G$28^1.2)/(CJ$90+2200)+$G$28/20+5)/CJ$40*1.2)</f>
        <v>197.31053781190738</v>
      </c>
      <c r="CK42" s="616"/>
      <c r="CL42" s="616">
        <f>(((60*$G$28^1.2)/(CL$90+2200)+$G$28/20+5)/CL$40*1.2)</f>
        <v>191.25032001828671</v>
      </c>
      <c r="CM42" s="616"/>
      <c r="CN42" s="616">
        <f>(((60*$G$28^1.2)/(CN$90+2200)+$G$28/20+5)/CN$40*1.2)</f>
        <v>100.0208955591113</v>
      </c>
      <c r="CO42" s="616"/>
      <c r="CP42" s="616">
        <f>(((60*$G$28^1.2)/(CP$90+2200)+$G$28/20+5)/CP$40*1.2)</f>
        <v>234.46425792000136</v>
      </c>
      <c r="CQ42" s="616"/>
      <c r="CR42" s="616">
        <f>(((60*$G$28^1.2)/(CR$90+2200)+$G$28/20+5)/CR$40*1.2)</f>
        <v>81.49059205535815</v>
      </c>
      <c r="CS42" s="616"/>
    </row>
    <row r="43" spans="4:97" hidden="1">
      <c r="D43" s="634"/>
      <c r="G43" t="s">
        <v>740</v>
      </c>
      <c r="H43" s="616">
        <f>(((60*$G$28^1.2)/(H$90+2200)+$G$28/20+5)/H$40*1.3)</f>
        <v>258.97707316587065</v>
      </c>
      <c r="I43" s="616"/>
      <c r="J43" s="616">
        <f>(((60*$G$28^1.2)/(J$90+2200)+$G$28/20+5)/J$40*1.3)</f>
        <v>258.97707316587065</v>
      </c>
      <c r="K43" s="616"/>
      <c r="L43" s="616">
        <f>(((60*$G$28^1.2)/(L$90+2200)+$G$28/20+5)/L$40*1.3)</f>
        <v>258.58410678486638</v>
      </c>
      <c r="M43" s="616"/>
      <c r="N43" s="616">
        <f>(((60*$G$28^1.2)/(N$90+2200)+$G$28/20+5)/N$40*1.3)</f>
        <v>257.02978440285864</v>
      </c>
      <c r="O43" s="616"/>
      <c r="P43" s="616">
        <f>(((60*$G$28^1.2)/(P$90+2200)+$G$28/20+5)/P$40*1.3)</f>
        <v>254.00294608000149</v>
      </c>
      <c r="Q43" s="616"/>
      <c r="R43" s="616">
        <f>(((60*$G$28^1.2)/(R$90+2200)+$G$28/20+5)/R$40*1.3)</f>
        <v>252.1645193329299</v>
      </c>
      <c r="S43" s="616"/>
      <c r="T43" s="616">
        <f>(((60*$G$28^1.2)/(T$90+2200)+$G$28/20+5)/T$40*1.3)</f>
        <v>258.58410678486638</v>
      </c>
      <c r="U43" s="616"/>
      <c r="V43" s="616">
        <f>(((60*$G$28^1.2)/(V$90+2200)+$G$28/20+5)/V$40*1.3)</f>
        <v>244.85963363585202</v>
      </c>
      <c r="W43" s="616"/>
      <c r="X43" s="616">
        <f>(((60*$G$28^1.2)/(X$90+2200)+$G$28/20+5)/X$40*1.3)</f>
        <v>254.7496550935698</v>
      </c>
      <c r="Y43" s="616"/>
      <c r="Z43" s="616">
        <f>(((60*$G$28^1.2)/(Z$90+2200)+$G$28/20+5)/Z$40*1.3)</f>
        <v>239.08668682496136</v>
      </c>
      <c r="AA43" s="616"/>
      <c r="AB43" s="616">
        <f>(((60*$G$28^1.2)/(AB$90+2200)+$G$28/20+5)/AB$40*1.3)</f>
        <v>176.51588501485793</v>
      </c>
      <c r="AC43" s="616"/>
      <c r="AD43" s="616">
        <f>(((60*$G$28^1.2)/(AD$90+2200)+$G$28/20+5)/AD$40*1.3)</f>
        <v>237.55612556926866</v>
      </c>
      <c r="AE43" s="616"/>
      <c r="AF43" s="616">
        <f>(((60*$G$28^1.2)/(AF$90+2200)+$G$28/20+5)/AF$40*1.3)</f>
        <v>209.16668292335595</v>
      </c>
      <c r="AG43" s="616"/>
      <c r="AH43" s="616">
        <f>(((60*$G$28^1.2)/(AH$90+2200)+$G$28/20+5)/AH$40*1.3)</f>
        <v>252.52900741843624</v>
      </c>
      <c r="AI43" s="616"/>
      <c r="AJ43" s="616">
        <f>(((60*$G$28^1.2)/(AJ$90+2200)+$G$28/20+5)/AJ$40*1.3)</f>
        <v>222.52382752228692</v>
      </c>
      <c r="AK43" s="616"/>
      <c r="AL43" s="616">
        <f>(((60*$G$28^1.2)/(AL$90+2200)+$G$28/20+5)/AL$40*1.3)</f>
        <v>198.1666814889422</v>
      </c>
      <c r="AM43" s="616"/>
      <c r="AN43" s="616">
        <f>(((60*$G$28^1.2)/(AN$90+2200)+$G$28/20+5)/AN$40*1.3)</f>
        <v>194.91906201782953</v>
      </c>
      <c r="AO43" s="616"/>
      <c r="AP43" s="616">
        <f>(((60*$G$28^1.2)/(AP$90+2200)+$G$28/20+5)/AP$40*1.3)</f>
        <v>218.68983231333451</v>
      </c>
      <c r="AQ43" s="616"/>
      <c r="AR43" s="616">
        <f>(((60*$G$28^1.2)/(AR$90+2200)+$G$28/20+5)/AR$40*1.3)</f>
        <v>213.32223902080116</v>
      </c>
      <c r="AS43" s="616"/>
      <c r="AT43" s="616">
        <f>(((60*$G$28^1.2)/(AT$90+2200)+$G$28/20+5)/AT$40*1.3)</f>
        <v>206.0304141705671</v>
      </c>
      <c r="AU43" s="616"/>
      <c r="AV43" s="616">
        <f>(((60*$G$28^1.2)/(AV$90+2200)+$G$28/20+5)/AV$40*1.3)</f>
        <v>233.14104502400133</v>
      </c>
      <c r="AW43" s="616"/>
      <c r="AX43" s="616">
        <f>(((60*$G$28^1.2)/(AX$90+2200)+$G$28/20+5)/AX$40*1.3)</f>
        <v>233.14104502400133</v>
      </c>
      <c r="AY43" s="616"/>
      <c r="AZ43" s="616">
        <f>(((60*$G$28^1.2)/(AZ$90+2200)+$G$28/20+5)/AZ$40*1.3)</f>
        <v>233.14104502400133</v>
      </c>
      <c r="BA43" s="616"/>
      <c r="BB43" s="616">
        <f>(((60*$G$28^1.2)/(BB$90+2200)+$G$28/20+5)/BB$40*1.3)</f>
        <v>233.14104502400133</v>
      </c>
      <c r="BC43" s="616"/>
      <c r="BD43" s="616">
        <f>(((60*$G$28^1.2)/(BD$90+2200)+$G$28/20+5)/BD$40*1.3)</f>
        <v>188.95046407091985</v>
      </c>
      <c r="BE43" s="616"/>
      <c r="BF43" s="616">
        <f>(((60*$G$28^1.2)/(BF$90+2200)+$G$28/20+5)/BF$40*1.3)</f>
        <v>205.27084908200109</v>
      </c>
      <c r="BG43" s="616"/>
      <c r="BH43" s="616">
        <f>(((60*$G$28^1.2)/(BH$90+2200)+$G$28/20+5)/BH$40*1.3)</f>
        <v>152.3011784320006</v>
      </c>
      <c r="BI43" s="616"/>
      <c r="BJ43" s="616">
        <f>(((60*$G$28^1.2)/(BJ$90+2200)+$G$28/20+5)/BJ$40*1.3)</f>
        <v>158.82052251200068</v>
      </c>
      <c r="BK43" s="616"/>
      <c r="BL43" s="616">
        <f>(((60*$G$28^1.2)/(BL$90+2200)+$G$28/20+5)/BL$40*1.3)</f>
        <v>183.59403001600089</v>
      </c>
      <c r="BM43" s="616"/>
      <c r="BN43" s="616">
        <f>(((60*$G$28^1.2)/(BN$90+2200)+$G$28/20+5)/BN$40*1.3)</f>
        <v>188.95046407091985</v>
      </c>
      <c r="BO43" s="616"/>
      <c r="BP43" s="616">
        <f>(((60*$G$28^1.2)/(BP$90+2200)+$G$28/20+5)/BP$40*1.3)</f>
        <v>209.16668292335595</v>
      </c>
      <c r="BQ43" s="616"/>
      <c r="BR43" s="616">
        <f>(((60*$G$28^1.2)/(BR$90+2200)+$G$28/20+5)/BR$40*1.3)</f>
        <v>136.72523203545992</v>
      </c>
      <c r="BS43" s="616"/>
      <c r="BT43" s="616">
        <f>(((60*$G$28^1.2)/(BT$90+2200)+$G$28/20+5)/BT$40*1.3)</f>
        <v>158.82052251200068</v>
      </c>
      <c r="BU43" s="616"/>
      <c r="BV43" s="616">
        <f>(((60*$G$28^1.2)/(BV$90+2200)+$G$28/20+5)/BV$40*1.3)</f>
        <v>142.18159956155276</v>
      </c>
      <c r="BW43" s="616"/>
      <c r="BX43" s="616">
        <f>(((60*$G$28^1.2)/(BX$90+2200)+$G$28/20+5)/BX$40*1.3)</f>
        <v>134.04701500800044</v>
      </c>
      <c r="BY43" s="616"/>
      <c r="BZ43" s="616">
        <f>(((60*$G$28^1.2)/(BZ$90+2200)+$G$28/20+5)/BZ$40*1.3)</f>
        <v>188.95046407091985</v>
      </c>
      <c r="CA43" s="616"/>
      <c r="CB43" s="616">
        <f>(((60*$G$28^1.2)/(CB$90+2200)+$G$28/20+5)/CB$40*1.3)</f>
        <v>125.61348053855356</v>
      </c>
      <c r="CC43" s="616"/>
      <c r="CD43" s="616">
        <f>(((60*$G$28^1.2)/(CD$90+2200)+$G$28/20+5)/CD$40*1.3)</f>
        <v>116.17759975921339</v>
      </c>
      <c r="CE43" s="616"/>
      <c r="CF43" s="616">
        <f>(((60*$G$28^1.2)/(CF$90+2200)+$G$28/20+5)/CF$40*1.3)</f>
        <v>213.32223902080116</v>
      </c>
      <c r="CG43" s="616"/>
      <c r="CH43" s="616">
        <f>(((60*$G$28^1.2)/(CH$90+2200)+$G$28/20+5)/CH$40*1.3)</f>
        <v>203.77985094518627</v>
      </c>
      <c r="CI43" s="616"/>
      <c r="CJ43" s="616">
        <f>(((60*$G$28^1.2)/(CJ$90+2200)+$G$28/20+5)/CJ$40*1.3)</f>
        <v>213.75308262956636</v>
      </c>
      <c r="CK43" s="616"/>
      <c r="CL43" s="616">
        <f>(((60*$G$28^1.2)/(CL$90+2200)+$G$28/20+5)/CL$40*1.3)</f>
        <v>207.18784668647729</v>
      </c>
      <c r="CM43" s="616"/>
      <c r="CN43" s="616">
        <f>(((60*$G$28^1.2)/(CN$90+2200)+$G$28/20+5)/CN$40*1.3)</f>
        <v>108.35597018903724</v>
      </c>
      <c r="CO43" s="616"/>
      <c r="CP43" s="616">
        <f>(((60*$G$28^1.2)/(CP$90+2200)+$G$28/20+5)/CP$40*1.3)</f>
        <v>254.00294608000149</v>
      </c>
      <c r="CQ43" s="616"/>
      <c r="CR43" s="616">
        <f>(((60*$G$28^1.2)/(CR$90+2200)+$G$28/20+5)/CR$40*1.3)</f>
        <v>88.281474726637995</v>
      </c>
      <c r="CS43" s="616"/>
    </row>
    <row r="44" spans="4:97" hidden="1">
      <c r="D44" s="634"/>
      <c r="G44" t="s">
        <v>741</v>
      </c>
      <c r="H44" s="616">
        <f>(((60*$G$28^1.2)/(H$90+2200)+$G$28/20+5)/H$40*1.7)</f>
        <v>338.66232644767695</v>
      </c>
      <c r="I44" s="616"/>
      <c r="J44" s="616">
        <f>(((60*$G$28^1.2)/(J$90+2200)+$G$28/20+5)/J$40*1.7)</f>
        <v>338.66232644767695</v>
      </c>
      <c r="K44" s="616"/>
      <c r="L44" s="616">
        <f>(((60*$G$28^1.2)/(L$90+2200)+$G$28/20+5)/L$40*1.7)</f>
        <v>338.14844733405607</v>
      </c>
      <c r="M44" s="616"/>
      <c r="N44" s="616">
        <f>(((60*$G$28^1.2)/(N$90+2200)+$G$28/20+5)/N$40*1.7)</f>
        <v>336.11587191143053</v>
      </c>
      <c r="O44" s="616"/>
      <c r="P44" s="616">
        <f>(((60*$G$28^1.2)/(P$90+2200)+$G$28/20+5)/P$40*1.7)</f>
        <v>332.15769872000192</v>
      </c>
      <c r="Q44" s="616"/>
      <c r="R44" s="616">
        <f>(((60*$G$28^1.2)/(R$90+2200)+$G$28/20+5)/R$40*1.7)</f>
        <v>329.75360220460061</v>
      </c>
      <c r="S44" s="616"/>
      <c r="T44" s="616">
        <f>(((60*$G$28^1.2)/(T$90+2200)+$G$28/20+5)/T$40*1.7)</f>
        <v>338.14844733405607</v>
      </c>
      <c r="U44" s="616"/>
      <c r="V44" s="616">
        <f>(((60*$G$28^1.2)/(V$90+2200)+$G$28/20+5)/V$40*1.7)</f>
        <v>320.20105936996032</v>
      </c>
      <c r="W44" s="616"/>
      <c r="X44" s="616">
        <f>(((60*$G$28^1.2)/(X$90+2200)+$G$28/20+5)/X$40*1.7)</f>
        <v>333.13416435312973</v>
      </c>
      <c r="Y44" s="616"/>
      <c r="Z44" s="616">
        <f>(((60*$G$28^1.2)/(Z$90+2200)+$G$28/20+5)/Z$40*1.7)</f>
        <v>312.65182123264179</v>
      </c>
      <c r="AA44" s="616"/>
      <c r="AB44" s="616">
        <f>(((60*$G$28^1.2)/(AB$90+2200)+$G$28/20+5)/AB$40*1.7)</f>
        <v>230.82846501942959</v>
      </c>
      <c r="AC44" s="616"/>
      <c r="AD44" s="616">
        <f>(((60*$G$28^1.2)/(AD$90+2200)+$G$28/20+5)/AD$40*1.7)</f>
        <v>310.65031805212055</v>
      </c>
      <c r="AE44" s="616"/>
      <c r="AF44" s="616">
        <f>(((60*$G$28^1.2)/(AF$90+2200)+$G$28/20+5)/AF$40*1.7)</f>
        <v>273.52566228438855</v>
      </c>
      <c r="AG44" s="616"/>
      <c r="AH44" s="616">
        <f>(((60*$G$28^1.2)/(AH$90+2200)+$G$28/20+5)/AH$40*1.7)</f>
        <v>330.23024047026274</v>
      </c>
      <c r="AI44" s="616"/>
      <c r="AJ44" s="616">
        <f>(((60*$G$28^1.2)/(AJ$90+2200)+$G$28/20+5)/AJ$40*1.7)</f>
        <v>290.99269752914444</v>
      </c>
      <c r="AK44" s="616"/>
      <c r="AL44" s="616">
        <f>(((60*$G$28^1.2)/(AL$90+2200)+$G$28/20+5)/AL$40*1.7)</f>
        <v>259.1410450240013</v>
      </c>
      <c r="AM44" s="616"/>
      <c r="AN44" s="616">
        <f>(((60*$G$28^1.2)/(AN$90+2200)+$G$28/20+5)/AN$40*1.7)</f>
        <v>254.89415802331555</v>
      </c>
      <c r="AO44" s="616"/>
      <c r="AP44" s="616">
        <f>(((60*$G$28^1.2)/(AP$90+2200)+$G$28/20+5)/AP$40*1.7)</f>
        <v>285.97901148666818</v>
      </c>
      <c r="AQ44" s="616"/>
      <c r="AR44" s="616">
        <f>(((60*$G$28^1.2)/(AR$90+2200)+$G$28/20+5)/AR$40*1.7)</f>
        <v>278.95985102720152</v>
      </c>
      <c r="AS44" s="616"/>
      <c r="AT44" s="616">
        <f>(((60*$G$28^1.2)/(AT$90+2200)+$G$28/20+5)/AT$40*1.7)</f>
        <v>269.42438776151079</v>
      </c>
      <c r="AU44" s="616"/>
      <c r="AV44" s="616">
        <f>(((60*$G$28^1.2)/(AV$90+2200)+$G$28/20+5)/AV$40*1.7)</f>
        <v>304.87675118523248</v>
      </c>
      <c r="AW44" s="616"/>
      <c r="AX44" s="616">
        <f>(((60*$G$28^1.2)/(AX$90+2200)+$G$28/20+5)/AX$40*1.7)</f>
        <v>304.87675118523248</v>
      </c>
      <c r="AY44" s="616"/>
      <c r="AZ44" s="616">
        <f>(((60*$G$28^1.2)/(AZ$90+2200)+$G$28/20+5)/AZ$40*1.7)</f>
        <v>304.87675118523248</v>
      </c>
      <c r="BA44" s="616"/>
      <c r="BB44" s="616">
        <f>(((60*$G$28^1.2)/(BB$90+2200)+$G$28/20+5)/BB$40*1.7)</f>
        <v>304.87675118523248</v>
      </c>
      <c r="BC44" s="616"/>
      <c r="BD44" s="616">
        <f>(((60*$G$28^1.2)/(BD$90+2200)+$G$28/20+5)/BD$40*1.7)</f>
        <v>247.0890684004336</v>
      </c>
      <c r="BE44" s="616"/>
      <c r="BF44" s="616">
        <f>(((60*$G$28^1.2)/(BF$90+2200)+$G$28/20+5)/BF$40*1.7)</f>
        <v>268.43111033800142</v>
      </c>
      <c r="BG44" s="616"/>
      <c r="BH44" s="616">
        <f>(((60*$G$28^1.2)/(BH$90+2200)+$G$28/20+5)/BH$40*1.7)</f>
        <v>199.16307948800076</v>
      </c>
      <c r="BI44" s="616"/>
      <c r="BJ44" s="616">
        <f>(((60*$G$28^1.2)/(BJ$90+2200)+$G$28/20+5)/BJ$40*1.7)</f>
        <v>207.68837559261624</v>
      </c>
      <c r="BK44" s="616"/>
      <c r="BL44" s="616">
        <f>(((60*$G$28^1.2)/(BL$90+2200)+$G$28/20+5)/BL$40*1.7)</f>
        <v>240.084500790155</v>
      </c>
      <c r="BM44" s="616"/>
      <c r="BN44" s="616">
        <f>(((60*$G$28^1.2)/(BN$90+2200)+$G$28/20+5)/BN$40*1.7)</f>
        <v>247.0890684004336</v>
      </c>
      <c r="BO44" s="616"/>
      <c r="BP44" s="616">
        <f>(((60*$G$28^1.2)/(BP$90+2200)+$G$28/20+5)/BP$40*1.7)</f>
        <v>273.52566228438855</v>
      </c>
      <c r="BQ44" s="616"/>
      <c r="BR44" s="616">
        <f>(((60*$G$28^1.2)/(BR$90+2200)+$G$28/20+5)/BR$40*1.7)</f>
        <v>178.79453420021682</v>
      </c>
      <c r="BS44" s="616"/>
      <c r="BT44" s="616">
        <f>(((60*$G$28^1.2)/(BT$90+2200)+$G$28/20+5)/BT$40*1.7)</f>
        <v>207.68837559261624</v>
      </c>
      <c r="BU44" s="616"/>
      <c r="BV44" s="616">
        <f>(((60*$G$28^1.2)/(BV$90+2200)+$G$28/20+5)/BV$40*1.7)</f>
        <v>185.92978404203049</v>
      </c>
      <c r="BW44" s="616"/>
      <c r="BX44" s="616">
        <f>(((60*$G$28^1.2)/(BX$90+2200)+$G$28/20+5)/BX$40*1.7)</f>
        <v>175.2922503950775</v>
      </c>
      <c r="BY44" s="616"/>
      <c r="BZ44" s="616">
        <f>(((60*$G$28^1.2)/(BZ$90+2200)+$G$28/20+5)/BZ$40*1.7)</f>
        <v>247.0890684004336</v>
      </c>
      <c r="CA44" s="616"/>
      <c r="CB44" s="616">
        <f>(((60*$G$28^1.2)/(CB$90+2200)+$G$28/20+5)/CB$40*1.7)</f>
        <v>164.26378224272386</v>
      </c>
      <c r="CC44" s="616"/>
      <c r="CD44" s="616">
        <f>(((60*$G$28^1.2)/(CD$90+2200)+$G$28/20+5)/CD$40*1.7)</f>
        <v>151.92455353127906</v>
      </c>
      <c r="CE44" s="616"/>
      <c r="CF44" s="616">
        <f>(((60*$G$28^1.2)/(CF$90+2200)+$G$28/20+5)/CF$40*1.7)</f>
        <v>278.95985102720152</v>
      </c>
      <c r="CG44" s="616"/>
      <c r="CH44" s="616">
        <f>(((60*$G$28^1.2)/(CH$90+2200)+$G$28/20+5)/CH$40*1.7)</f>
        <v>266.48134354370512</v>
      </c>
      <c r="CI44" s="616"/>
      <c r="CJ44" s="616">
        <f>(((60*$G$28^1.2)/(CJ$90+2200)+$G$28/20+5)/CJ$40*1.7)</f>
        <v>279.52326190020216</v>
      </c>
      <c r="CK44" s="616"/>
      <c r="CL44" s="616">
        <f>(((60*$G$28^1.2)/(CL$90+2200)+$G$28/20+5)/CL$40*1.7)</f>
        <v>270.93795335923949</v>
      </c>
      <c r="CM44" s="616"/>
      <c r="CN44" s="616">
        <f>(((60*$G$28^1.2)/(CN$90+2200)+$G$28/20+5)/CN$40*1.7)</f>
        <v>141.696268708741</v>
      </c>
      <c r="CO44" s="616"/>
      <c r="CP44" s="616">
        <f>(((60*$G$28^1.2)/(CP$90+2200)+$G$28/20+5)/CP$40*1.7)</f>
        <v>332.15769872000192</v>
      </c>
      <c r="CQ44" s="616"/>
      <c r="CR44" s="616">
        <f>(((60*$G$28^1.2)/(CR$90+2200)+$G$28/20+5)/CR$40*1.7)</f>
        <v>115.44500541175738</v>
      </c>
      <c r="CS44" s="616"/>
    </row>
    <row r="45" spans="4:97">
      <c r="H45" s="365"/>
      <c r="I45" s="365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365"/>
      <c r="AH45" s="365"/>
      <c r="AI45" s="365"/>
      <c r="AJ45" s="365"/>
      <c r="AK45" s="365"/>
      <c r="AL45" s="365"/>
      <c r="AM45" s="365"/>
      <c r="AN45" s="365"/>
      <c r="AO45" s="365"/>
      <c r="AP45" s="365"/>
      <c r="AQ45" s="365"/>
      <c r="AR45" s="365"/>
      <c r="AS45" s="365"/>
      <c r="AT45" s="365"/>
      <c r="AU45" s="365"/>
      <c r="AV45" s="365"/>
      <c r="AW45" s="365"/>
      <c r="AX45" s="365"/>
      <c r="AY45" s="365"/>
      <c r="AZ45" s="365"/>
      <c r="BA45" s="365"/>
      <c r="BB45" s="365"/>
      <c r="BC45" s="365"/>
      <c r="BD45" s="365"/>
      <c r="BE45" s="365"/>
      <c r="BF45" s="365"/>
      <c r="BG45" s="365"/>
      <c r="BH45" s="365"/>
      <c r="BI45" s="365"/>
      <c r="BJ45" s="365"/>
      <c r="BK45" s="365"/>
      <c r="BL45" s="365"/>
      <c r="BM45" s="365"/>
      <c r="BN45" s="365"/>
      <c r="BO45" s="365"/>
      <c r="BP45" s="365"/>
      <c r="BQ45" s="365"/>
      <c r="BR45" s="365"/>
      <c r="BS45" s="365"/>
      <c r="BT45" s="365"/>
      <c r="BU45" s="365"/>
      <c r="BV45" s="365"/>
      <c r="BW45" s="365"/>
      <c r="BX45" s="365"/>
      <c r="BY45" s="365"/>
      <c r="BZ45" s="365"/>
      <c r="CA45" s="365"/>
      <c r="CB45" s="365"/>
      <c r="CC45" s="365"/>
      <c r="CD45" s="365"/>
      <c r="CE45" s="365"/>
      <c r="CF45" s="365"/>
      <c r="CG45" s="365"/>
      <c r="CH45" s="365"/>
      <c r="CI45" s="365"/>
      <c r="CJ45" s="365"/>
      <c r="CK45" s="365"/>
      <c r="CL45" s="365"/>
      <c r="CM45" s="365"/>
      <c r="CN45" s="365"/>
      <c r="CO45" s="365"/>
      <c r="CP45" s="365"/>
      <c r="CQ45" s="365"/>
      <c r="CR45" s="365"/>
      <c r="CS45" s="365"/>
    </row>
    <row r="46" spans="4:97">
      <c r="D46" s="602" t="s">
        <v>766</v>
      </c>
      <c r="H46" s="624" t="s">
        <v>33</v>
      </c>
      <c r="I46" s="625"/>
      <c r="J46" s="635" t="s">
        <v>37</v>
      </c>
      <c r="K46" s="635"/>
      <c r="L46" s="624" t="s">
        <v>35</v>
      </c>
      <c r="M46" s="625"/>
      <c r="N46" s="635" t="s">
        <v>36</v>
      </c>
      <c r="O46" s="635"/>
      <c r="P46" s="624" t="s">
        <v>405</v>
      </c>
      <c r="Q46" s="625"/>
      <c r="R46" s="635" t="s">
        <v>38</v>
      </c>
      <c r="S46" s="635"/>
      <c r="T46" s="624" t="s">
        <v>572</v>
      </c>
      <c r="U46" s="625"/>
      <c r="V46" s="635" t="s">
        <v>406</v>
      </c>
      <c r="W46" s="635"/>
      <c r="X46" s="624" t="s">
        <v>749</v>
      </c>
      <c r="Y46" s="625"/>
      <c r="Z46" s="635" t="s">
        <v>39</v>
      </c>
      <c r="AA46" s="635"/>
      <c r="AB46" s="624" t="s">
        <v>750</v>
      </c>
      <c r="AC46" s="625"/>
      <c r="AD46" s="635" t="s">
        <v>751</v>
      </c>
      <c r="AE46" s="635"/>
      <c r="AF46" s="624" t="s">
        <v>40</v>
      </c>
      <c r="AG46" s="625"/>
      <c r="AH46" s="635" t="s">
        <v>567</v>
      </c>
      <c r="AI46" s="635"/>
      <c r="AJ46" s="624" t="s">
        <v>41</v>
      </c>
      <c r="AK46" s="625"/>
      <c r="AL46" s="635" t="s">
        <v>42</v>
      </c>
      <c r="AM46" s="635"/>
      <c r="AN46" s="624" t="s">
        <v>590</v>
      </c>
      <c r="AO46" s="625"/>
      <c r="AP46" s="635" t="s">
        <v>43</v>
      </c>
      <c r="AQ46" s="635"/>
      <c r="AR46" s="624" t="s">
        <v>566</v>
      </c>
      <c r="AS46" s="625"/>
      <c r="AT46" s="635" t="s">
        <v>44</v>
      </c>
      <c r="AU46" s="635"/>
      <c r="AV46" s="624" t="s">
        <v>754</v>
      </c>
      <c r="AW46" s="625"/>
      <c r="AX46" s="635" t="s">
        <v>755</v>
      </c>
      <c r="AY46" s="635"/>
      <c r="AZ46" s="624" t="s">
        <v>756</v>
      </c>
      <c r="BA46" s="625"/>
      <c r="BB46" s="635" t="s">
        <v>757</v>
      </c>
      <c r="BC46" s="635"/>
      <c r="BD46" s="624" t="s">
        <v>45</v>
      </c>
      <c r="BE46" s="625"/>
      <c r="BF46" s="635" t="s">
        <v>752</v>
      </c>
      <c r="BG46" s="635"/>
      <c r="BH46" s="624" t="s">
        <v>46</v>
      </c>
      <c r="BI46" s="625"/>
      <c r="BJ46" s="635" t="s">
        <v>47</v>
      </c>
      <c r="BK46" s="635"/>
      <c r="BL46" s="624" t="s">
        <v>48</v>
      </c>
      <c r="BM46" s="625"/>
      <c r="BN46" s="635" t="s">
        <v>570</v>
      </c>
      <c r="BO46" s="635"/>
      <c r="BP46" s="624" t="s">
        <v>595</v>
      </c>
      <c r="BQ46" s="625"/>
      <c r="BR46" s="635" t="s">
        <v>51</v>
      </c>
      <c r="BS46" s="635"/>
      <c r="BT46" s="624" t="s">
        <v>568</v>
      </c>
      <c r="BU46" s="625"/>
      <c r="BV46" s="635" t="s">
        <v>49</v>
      </c>
      <c r="BW46" s="635"/>
      <c r="BX46" s="624" t="s">
        <v>565</v>
      </c>
      <c r="BY46" s="625"/>
      <c r="BZ46" s="635" t="s">
        <v>57</v>
      </c>
      <c r="CA46" s="635"/>
      <c r="CB46" s="624" t="s">
        <v>50</v>
      </c>
      <c r="CC46" s="625"/>
      <c r="CD46" s="635" t="s">
        <v>618</v>
      </c>
      <c r="CE46" s="635"/>
      <c r="CF46" s="624" t="s">
        <v>619</v>
      </c>
      <c r="CG46" s="625"/>
      <c r="CH46" s="635" t="s">
        <v>52</v>
      </c>
      <c r="CI46" s="635"/>
      <c r="CJ46" s="624" t="s">
        <v>53</v>
      </c>
      <c r="CK46" s="625"/>
      <c r="CL46" s="635" t="s">
        <v>54</v>
      </c>
      <c r="CM46" s="635"/>
      <c r="CN46" s="624" t="s">
        <v>55</v>
      </c>
      <c r="CO46" s="625"/>
      <c r="CP46" s="635" t="s">
        <v>628</v>
      </c>
      <c r="CQ46" s="635"/>
      <c r="CR46" s="624" t="s">
        <v>629</v>
      </c>
      <c r="CS46" s="625"/>
    </row>
    <row r="47" spans="4:97">
      <c r="D47" s="634"/>
      <c r="E47" s="617" t="s">
        <v>768</v>
      </c>
      <c r="F47" s="617"/>
      <c r="G47" s="638"/>
      <c r="H47" s="624">
        <f>H40</f>
        <v>1</v>
      </c>
      <c r="I47" s="625"/>
      <c r="J47" s="635">
        <f t="shared" ref="J47:BT47" si="0">J40</f>
        <v>1</v>
      </c>
      <c r="K47" s="635"/>
      <c r="L47" s="624">
        <f t="shared" si="0"/>
        <v>1</v>
      </c>
      <c r="M47" s="625"/>
      <c r="N47" s="635">
        <f t="shared" si="0"/>
        <v>1</v>
      </c>
      <c r="O47" s="635"/>
      <c r="P47" s="624">
        <f t="shared" si="0"/>
        <v>1</v>
      </c>
      <c r="Q47" s="625"/>
      <c r="R47" s="635">
        <f t="shared" si="0"/>
        <v>1</v>
      </c>
      <c r="S47" s="635"/>
      <c r="T47" s="624">
        <f t="shared" si="0"/>
        <v>1</v>
      </c>
      <c r="U47" s="625"/>
      <c r="V47" s="635">
        <f t="shared" si="0"/>
        <v>1</v>
      </c>
      <c r="W47" s="635"/>
      <c r="X47" s="624">
        <f t="shared" si="0"/>
        <v>1</v>
      </c>
      <c r="Y47" s="625"/>
      <c r="Z47" s="635">
        <f t="shared" si="0"/>
        <v>1</v>
      </c>
      <c r="AA47" s="635"/>
      <c r="AB47" s="624">
        <f t="shared" si="0"/>
        <v>1</v>
      </c>
      <c r="AC47" s="625"/>
      <c r="AD47" s="635">
        <f t="shared" si="0"/>
        <v>1</v>
      </c>
      <c r="AE47" s="635"/>
      <c r="AF47" s="624">
        <f t="shared" si="0"/>
        <v>1</v>
      </c>
      <c r="AG47" s="625"/>
      <c r="AH47" s="635">
        <f t="shared" si="0"/>
        <v>1</v>
      </c>
      <c r="AI47" s="635"/>
      <c r="AJ47" s="624">
        <f t="shared" si="0"/>
        <v>1</v>
      </c>
      <c r="AK47" s="625"/>
      <c r="AL47" s="635">
        <f t="shared" si="0"/>
        <v>1</v>
      </c>
      <c r="AM47" s="635"/>
      <c r="AN47" s="624">
        <f t="shared" si="0"/>
        <v>1</v>
      </c>
      <c r="AO47" s="625"/>
      <c r="AP47" s="635">
        <f t="shared" si="0"/>
        <v>1</v>
      </c>
      <c r="AQ47" s="635"/>
      <c r="AR47" s="624">
        <f t="shared" si="0"/>
        <v>1</v>
      </c>
      <c r="AS47" s="625"/>
      <c r="AT47" s="635">
        <f t="shared" si="0"/>
        <v>1</v>
      </c>
      <c r="AU47" s="635"/>
      <c r="AV47" s="624">
        <f t="shared" si="0"/>
        <v>1</v>
      </c>
      <c r="AW47" s="625"/>
      <c r="AX47" s="635">
        <f t="shared" si="0"/>
        <v>1</v>
      </c>
      <c r="AY47" s="635"/>
      <c r="AZ47" s="624">
        <f t="shared" si="0"/>
        <v>1</v>
      </c>
      <c r="BA47" s="625"/>
      <c r="BB47" s="635">
        <f t="shared" si="0"/>
        <v>1</v>
      </c>
      <c r="BC47" s="635"/>
      <c r="BD47" s="624">
        <f t="shared" si="0"/>
        <v>1</v>
      </c>
      <c r="BE47" s="625"/>
      <c r="BF47" s="635">
        <f t="shared" si="0"/>
        <v>1</v>
      </c>
      <c r="BG47" s="635"/>
      <c r="BH47" s="624">
        <f t="shared" si="0"/>
        <v>1</v>
      </c>
      <c r="BI47" s="625"/>
      <c r="BJ47" s="635">
        <f t="shared" si="0"/>
        <v>1</v>
      </c>
      <c r="BK47" s="635"/>
      <c r="BL47" s="624">
        <f t="shared" si="0"/>
        <v>1</v>
      </c>
      <c r="BM47" s="625"/>
      <c r="BN47" s="635">
        <f t="shared" si="0"/>
        <v>1</v>
      </c>
      <c r="BO47" s="635"/>
      <c r="BP47" s="624">
        <f t="shared" si="0"/>
        <v>1</v>
      </c>
      <c r="BQ47" s="625"/>
      <c r="BR47" s="635">
        <f t="shared" si="0"/>
        <v>1</v>
      </c>
      <c r="BS47" s="635"/>
      <c r="BT47" s="624">
        <f t="shared" si="0"/>
        <v>1</v>
      </c>
      <c r="BU47" s="625"/>
      <c r="BV47" s="635">
        <f t="shared" ref="BV47:CR47" si="1">BV40</f>
        <v>1</v>
      </c>
      <c r="BW47" s="635"/>
      <c r="BX47" s="624">
        <f t="shared" si="1"/>
        <v>1</v>
      </c>
      <c r="BY47" s="625"/>
      <c r="BZ47" s="635">
        <f t="shared" si="1"/>
        <v>1</v>
      </c>
      <c r="CA47" s="635"/>
      <c r="CB47" s="624">
        <f t="shared" si="1"/>
        <v>1</v>
      </c>
      <c r="CC47" s="625"/>
      <c r="CD47" s="635">
        <f t="shared" si="1"/>
        <v>1</v>
      </c>
      <c r="CE47" s="635"/>
      <c r="CF47" s="624">
        <f t="shared" si="1"/>
        <v>1</v>
      </c>
      <c r="CG47" s="625"/>
      <c r="CH47" s="635">
        <f t="shared" si="1"/>
        <v>1</v>
      </c>
      <c r="CI47" s="635"/>
      <c r="CJ47" s="624">
        <f t="shared" si="1"/>
        <v>1</v>
      </c>
      <c r="CK47" s="625"/>
      <c r="CL47" s="635">
        <f t="shared" si="1"/>
        <v>1</v>
      </c>
      <c r="CM47" s="635"/>
      <c r="CN47" s="624">
        <f t="shared" si="1"/>
        <v>1</v>
      </c>
      <c r="CO47" s="625"/>
      <c r="CP47" s="635">
        <f t="shared" si="1"/>
        <v>1</v>
      </c>
      <c r="CQ47" s="635"/>
      <c r="CR47" s="624">
        <f t="shared" si="1"/>
        <v>1</v>
      </c>
      <c r="CS47" s="625"/>
    </row>
    <row r="48" spans="4:97">
      <c r="D48" s="634"/>
      <c r="G48" t="s">
        <v>738</v>
      </c>
      <c r="H48" s="636">
        <f>H41</f>
        <v>159.37050656361271</v>
      </c>
      <c r="I48" s="637"/>
      <c r="J48" s="616">
        <f>J41</f>
        <v>159.37050656361271</v>
      </c>
      <c r="K48" s="616"/>
      <c r="L48" s="636">
        <f>IF($G$30=1,L41*2,L41)</f>
        <v>159.12868109837933</v>
      </c>
      <c r="M48" s="637"/>
      <c r="N48" s="616">
        <f>N41</f>
        <v>158.17217501714379</v>
      </c>
      <c r="O48" s="616"/>
      <c r="P48" s="636">
        <f>IF($G$30=1,P41*2,P41)</f>
        <v>156.30950528000093</v>
      </c>
      <c r="Q48" s="637"/>
      <c r="R48" s="616">
        <f>R41</f>
        <v>155.17816574334148</v>
      </c>
      <c r="S48" s="616"/>
      <c r="T48" s="636">
        <f>T41</f>
        <v>159.12868109837933</v>
      </c>
      <c r="U48" s="637"/>
      <c r="V48" s="616">
        <f>IF($G$30=2,V41*2,V41)</f>
        <v>150.68285146821663</v>
      </c>
      <c r="W48" s="616"/>
      <c r="X48" s="636">
        <f>IF($G$30=1,X41*2,X41)</f>
        <v>156.76901851911987</v>
      </c>
      <c r="Y48" s="637"/>
      <c r="Z48" s="616">
        <f>IF($G$30=1,Z41*2,Z41)</f>
        <v>147.13026881536084</v>
      </c>
      <c r="AA48" s="616"/>
      <c r="AB48" s="636">
        <f>IF(AND($G$33=1,OR($G$36=1,$G$36=2)),AB41/2/4,IF(AND($G$33=1,$G$36=4),AB41/2*3,IF(AND($G$33=1,OR($G$36=3,$G$36=0)),AB41/2,IF(AND($G$33=0,OR($G$36=1,$G$36=2)),AB41/4,IF(AND($G$33=0,$G$36=4),AB41*3,AB41)))))</f>
        <v>54.312580004571672</v>
      </c>
      <c r="AC48" s="637"/>
      <c r="AD48" s="616">
        <f>IF($G$36=2,AD41*3,IF(OR($G$36=3,$G$36=4),AD41/4,AD41))</f>
        <v>146.18838496570379</v>
      </c>
      <c r="AE48" s="616"/>
      <c r="AF48" s="636">
        <f>IF($G$30=1,AF41*2,AF41)</f>
        <v>128.71795872206519</v>
      </c>
      <c r="AG48" s="637"/>
      <c r="AH48" s="616">
        <f>IF(AND($G$30=1,$G$36=3),AH41*2*3,IF(AND($G$30=1,OR($G$36=1,$G$36=4)),AH41*2/4,IF(AND($G$30=1,OR($G$36=2,$G$36=0)),AH41*2,IF(AND($G$30&lt;&gt;1,$G$36=3),AH41*3,IF(AND($G$30&lt;&gt;1,OR($G$36=1,$G$36=4)),AH41/4,AH41)))))</f>
        <v>155.40246610365307</v>
      </c>
      <c r="AI48" s="616"/>
      <c r="AJ48" s="636">
        <f>IF($G$30=3,AJ41*2,AJ41)</f>
        <v>136.93774001371503</v>
      </c>
      <c r="AK48" s="637"/>
      <c r="AL48" s="616">
        <f>IF($G$30=1,AL41*2,AL41)</f>
        <v>121.94872707011828</v>
      </c>
      <c r="AM48" s="616"/>
      <c r="AN48" s="636">
        <f>IF(OR($G$36=2,$G$36=4),AN41*0.75,IF(OR($G$36=1,$G$36=3),AN41/4,AN41))</f>
        <v>119.95019201097203</v>
      </c>
      <c r="AO48" s="637"/>
      <c r="AP48" s="616">
        <f>IF(AND($G$30=3,$G$36=1),AP41*2*3,IF(AND($G$30=3,OR($G$36=2,$G$36=3)),AP41*2/4,IF(AND($G$30=3,OR($G$36=4,$G$36=0)),AP41*2,IF(AND($G$30&lt;&gt;3,$G$36=1),AP41*3,IF(AND($G$30&lt;&gt;3,OR($G$36=2,$G$36=3)),AP41/4,AP41)))))</f>
        <v>134.57835834666739</v>
      </c>
      <c r="AQ48" s="616"/>
      <c r="AR48" s="636">
        <f>IF(AND($G$30=3,$G$36=4),AR41*2*3,IF(AND($G$30=3,OR($G$36=1,$G$36=1)),AR41*2/4,IF(AND($G$30=3,OR($G$36=3,$G$36=0)),AR41*2,IF(AND($G$30&lt;&gt;3,$G$36=4),AR41*3,IF(AND($G$30&lt;&gt;3,OR($G$36=1,$G$36=2)),AR41/4,AR41)))))</f>
        <v>131.27522401280072</v>
      </c>
      <c r="AS48" s="637"/>
      <c r="AT48" s="616">
        <f>IF($G$30=4,AT41*2,AT41)</f>
        <v>126.78794718188745</v>
      </c>
      <c r="AU48" s="616"/>
      <c r="AV48" s="636">
        <f>IF(AND($G$30=4,$G$36=2),AV41*2*3,IF(AND($G$30=4,OR($G$36=3,$G$36=4)),AV41*2/4,IF(AND($G$30=4,OR($G$36=1,$G$36=0)),AV41*2,IF(AND($G$30&lt;&gt;4,$G$36=2),AV41*3,IF(AND($G$30&lt;&gt;4,OR($G$36=3,$G$36=4)),AV41/4,AV41)))))</f>
        <v>143.47141232246236</v>
      </c>
      <c r="AW48" s="637"/>
      <c r="AX48" s="616">
        <f>IF(AND($G$30=4,$G$36=3),AX41*2*3,IF(AND($G$30=4,OR($G$36=1,$G$36=4)),AX41*2/4,IF(AND($G$30=4,OR($G$36=2,$G$36=0)),AX41*2,IF(AND($G$30&lt;&gt;4,$G$36=3),AX41*3,IF(AND($G$30&lt;&gt;4,OR($G$36=1,$G$36=4)),AX41/4,AX41)))))</f>
        <v>143.47141232246236</v>
      </c>
      <c r="AY48" s="616"/>
      <c r="AZ48" s="636">
        <f>IF(AND($G$30=4,$G$36=4),AZ41*2*3,IF(AND($G$30=4,OR($G$36=1,$G$36=1)),AZ41*2/4,IF(AND($G$30=4,OR($G$36=3,$G$36=0)),AZ41*2,IF(AND($G$30&lt;&gt;4,$G$36=4),AZ41*3,IF(AND($G$30&lt;&gt;4,OR($G$36=1,$G$36=2)),AZ41/4,AZ41)))))</f>
        <v>143.47141232246236</v>
      </c>
      <c r="BA48" s="637"/>
      <c r="BB48" s="616">
        <f>IF(AND($G$30=4,$G$36=1),BB41*2*3,IF(AND($G$30=4,OR($G$36=2,$G$36=3)),BB41*2/4,IF(AND($G$30=4,OR($G$36=4,$G$36=0)),BB41*2,IF(AND($G$30&lt;&gt;4,$G$36=1),BB41*3,IF(AND($G$30&lt;&gt;4,OR($G$36=2,$G$36=3)),BB41/4,BB41)))))</f>
        <v>143.47141232246236</v>
      </c>
      <c r="BC48" s="616"/>
      <c r="BD48" s="636">
        <f>IF($G$30=2,BD41*2,BD41)</f>
        <v>116.27720865902759</v>
      </c>
      <c r="BE48" s="637"/>
      <c r="BF48" s="616">
        <f>IF(AND($G$30=3,$G$36=4),BF41*2*3,IF(AND($G$30=3,OR($G$36=1,$G$36=1)),BF41*2/4,IF(AND($G$30=3,OR($G$36=3,$G$36=0)),BF41*2,IF(AND($G$30&lt;&gt;3,$G$36=4),BF41*3,IF(AND($G$30&lt;&gt;3,OR($G$36=1,$G$36=2)),BF41/4,BF41)))))</f>
        <v>126.32052251200066</v>
      </c>
      <c r="BG48" s="616"/>
      <c r="BH48" s="636">
        <f>IF($G$36=3,BH41*3,IF(OR($G$36=1,$G$36=4),BH41/4,BH41))</f>
        <v>93.723802112000371</v>
      </c>
      <c r="BI48" s="637"/>
      <c r="BJ48" s="616">
        <f>IF($G$36=4,BJ41*3,IF(OR($G$36=1,$G$36=2),BJ41/4,BJ41))</f>
        <v>97.735706161231178</v>
      </c>
      <c r="BK48" s="616"/>
      <c r="BL48" s="636">
        <f>IF($G$30=2,BL41*2,BL41)</f>
        <v>112.98094154830824</v>
      </c>
      <c r="BM48" s="637"/>
      <c r="BN48" s="616">
        <f>IF(AND($G$30=3,$G$36=1),BN41*2*3,IF(AND($G$30=3,OR($G$36=2,$G$36=3)),BN41*2/4,IF(AND($G$30=3,OR($G$36=2,$G$36=0)),BN41*2,IF(AND($G$30&lt;&gt;3,$G$36=1),BN41*3,IF(AND($G$30&lt;&gt;3,OR($G$36=2,$G$36=3)),BN41/4,BN41)))))</f>
        <v>116.27720865902759</v>
      </c>
      <c r="BO48" s="616"/>
      <c r="BP48" s="636">
        <f>BP41</f>
        <v>128.71795872206519</v>
      </c>
      <c r="BQ48" s="637"/>
      <c r="BR48" s="616">
        <f>IF($G$30=4,BR41*2,BR41)</f>
        <v>84.138604329513797</v>
      </c>
      <c r="BS48" s="616"/>
      <c r="BT48" s="636">
        <f>IF($G$30=1,BT41*2,BT41)</f>
        <v>97.735706161231178</v>
      </c>
      <c r="BU48" s="637"/>
      <c r="BV48" s="616">
        <f>IF($G$30=3,BV41*2,BV41)</f>
        <v>87.496368960955536</v>
      </c>
      <c r="BW48" s="616"/>
      <c r="BX48" s="636">
        <f>IF(AND($G$30=2,$G$36=0),BX41*2,IF(AND($G$30=2,OR($G$36=2,$G$36=4)),BX41*2/4,IF(AND($G$30=2,OR($G$36=1,$G$36=3)),BX41*2*0.75,IF(AND($G$30&lt;&gt;2,OR($G$36=2,$G$36=4)),BX41/4,IF(AND($G$30&lt;&gt;2,OR($G$36=1,$G$36=3)),BX41*0.75,BX41)))))</f>
        <v>82.490470774154119</v>
      </c>
      <c r="BY48" s="637"/>
      <c r="BZ48" s="616">
        <f>IF(AND($G$30=2,$G$36=2),BZ41*2*3,IF(AND($G$30=2,OR($G$36=3,$G$36=4)),BZ41*2/4,IF(AND($G$30=2,OR($G$36=1,$G$36=0)),BZ41*2,IF(AND($G$30&lt;&gt;2,$G$36=2),BZ41*3,IF(AND($G$30&lt;&gt;2,OR($G$36=3,$G$36=4)),BZ41/4,BZ41)))))</f>
        <v>116.27720865902759</v>
      </c>
      <c r="CA48" s="616"/>
      <c r="CB48" s="636">
        <f>IF(AND($G$33=1,OR($G$36=2,$G$36=3)),CB41/2/4,IF(AND($G$33=1,$G$36=1),CB41/2*3,IF(AND($G$33=1,OR($G$36=4,$G$36=0)),CB41/2,IF(AND($G$33=0,OR($G$36=2,$G$36=3)),CB41/4,IF(AND($G$33=0,$G$36=1),CB41*3,CB41)))))</f>
        <v>38.650301704170325</v>
      </c>
      <c r="CC48" s="637"/>
      <c r="CD48" s="616">
        <f>IF(AND($G$30=3,$G$36=4),CD41*2*3,IF(AND($G$30=3,OR($G$36=1,$G$36=1)),CD41*2/4,IF(AND($G$30=3,OR($G$36=3,$G$36=0)),CD41*2,IF(AND($G$30&lt;&gt;3,$G$36=4),CD41*3,IF(AND($G$30&lt;&gt;3,OR($G$36=1,$G$36=2)),CD41/4,CD41)))))</f>
        <v>71.493907544131318</v>
      </c>
      <c r="CE48" s="616"/>
      <c r="CF48" s="636">
        <f>IF($G$30=1,CF41*2,CF41)</f>
        <v>131.27522401280072</v>
      </c>
      <c r="CG48" s="637"/>
      <c r="CH48" s="616">
        <f>IF($G$36=2,CH41*3,IF(OR($G$36=3,$G$36=4),CH41/4,CH41))</f>
        <v>125.40298519703771</v>
      </c>
      <c r="CI48" s="616"/>
      <c r="CJ48" s="636">
        <f>IF(AND($G$30=1,$G$36=1),CJ41*2*3,IF(AND($G$30=1,OR($G$36=2,$G$36=3)),CJ41*2/4,IF(AND($G$30=1,OR($G$36=4,$G$36=0)),CJ41*2,IF(AND($G$30&lt;&gt;1,$G$36=1),CJ41*3,IF(AND($G$30&lt;&gt;1,OR($G$36=2,$G$36=3)),CJ41/4,CJ41)))))</f>
        <v>131.54035854127162</v>
      </c>
      <c r="CK48" s="637"/>
      <c r="CL48" s="616">
        <f>IF(AND($G$30=2,$G$36=4),CL41*2*3,IF(AND($G$30=2,OR($G$36=1,$G$36=1)),CL41*2/4,IF(AND($G$30=2,OR($G$36=3,$G$36=0)),CL41*2,IF(AND($G$30&lt;&gt;2,$G$36=4),CL41*3,IF(AND($G$30&lt;&gt;2,OR($G$36=1,$G$36=2)),CL41/4,CL41)))))</f>
        <v>127.50021334552449</v>
      </c>
      <c r="CM48" s="616"/>
      <c r="CN48" s="636">
        <f>CN41</f>
        <v>66.68059703940753</v>
      </c>
      <c r="CO48" s="637"/>
      <c r="CP48" s="616">
        <f>CP41</f>
        <v>156.30950528000093</v>
      </c>
      <c r="CQ48" s="616"/>
      <c r="CR48" s="636">
        <f>CR41</f>
        <v>54.327061370238766</v>
      </c>
      <c r="CS48" s="637"/>
    </row>
    <row r="49" spans="1:97">
      <c r="D49" s="634"/>
      <c r="G49" t="s">
        <v>739</v>
      </c>
      <c r="H49" s="636">
        <f>H42</f>
        <v>239.055759845419</v>
      </c>
      <c r="I49" s="637"/>
      <c r="J49" s="616">
        <f>J42</f>
        <v>239.055759845419</v>
      </c>
      <c r="K49" s="616"/>
      <c r="L49" s="636">
        <f>IF($G$30=1,L42*2,L42)</f>
        <v>238.69302164756897</v>
      </c>
      <c r="M49" s="637"/>
      <c r="N49" s="616">
        <f>N42</f>
        <v>237.25826252571568</v>
      </c>
      <c r="O49" s="616"/>
      <c r="P49" s="636">
        <f>IF($G$30=1,P42*2,P42)</f>
        <v>234.46425792000136</v>
      </c>
      <c r="Q49" s="637"/>
      <c r="R49" s="616">
        <f>R42</f>
        <v>232.76724861501219</v>
      </c>
      <c r="S49" s="616"/>
      <c r="T49" s="636">
        <f>T42</f>
        <v>238.69302164756897</v>
      </c>
      <c r="U49" s="637"/>
      <c r="V49" s="616">
        <f>IF($G$30=2,V42*2,V42)</f>
        <v>226.02427720232495</v>
      </c>
      <c r="W49" s="616"/>
      <c r="X49" s="636">
        <f>IF($G$30=1,X42*2,X42)</f>
        <v>235.1535277786798</v>
      </c>
      <c r="Y49" s="637"/>
      <c r="Z49" s="616">
        <f>IF($G$30=1,Z42*2,Z42)</f>
        <v>220.69540322304127</v>
      </c>
      <c r="AA49" s="616"/>
      <c r="AB49" s="636">
        <f>IF(AND($G$33=1,OR($G$36=1,$G$36=2)),AB42/2/4,IF(AND($G$33=1,$G$36=4),AB42/2*3,IF(AND($G$33=1,OR($G$36=3,$G$36=0)),AB42/2,IF(AND($G$33=0,OR($G$36=1,$G$36=2)),AB42/4,IF(AND($G$33=0,$G$36=4),AB42*3,AB42)))))</f>
        <v>81.4688700068575</v>
      </c>
      <c r="AC49" s="637"/>
      <c r="AD49" s="616">
        <f>IF($G$36=2,AD42*3,IF(OR($G$36=3,$G$36=4),AD42/4,AD42))</f>
        <v>219.28257744855568</v>
      </c>
      <c r="AE49" s="616"/>
      <c r="AF49" s="636">
        <f>IF($G$30=1,AF42*2,AF42)</f>
        <v>193.07693808309779</v>
      </c>
      <c r="AG49" s="637"/>
      <c r="AH49" s="616">
        <f>IF(AND($G$30=1,$G$36=3),AH42*2*3,IF(AND($G$30=1,OR($G$36=1,$G$36=4)),AH42*2/4,IF(AND($G$30=1,OR($G$36=2,$G$36=0)),AH42*2,IF(AND($G$30&lt;&gt;1,$G$36=3),AH42*3,IF(AND($G$30&lt;&gt;1,OR($G$36=1,$G$36=4)),AH42/4,AH42)))))</f>
        <v>233.1036991554796</v>
      </c>
      <c r="AI49" s="616"/>
      <c r="AJ49" s="636">
        <f>IF($G$30=3,AJ42*2,AJ42)</f>
        <v>205.40661002057254</v>
      </c>
      <c r="AK49" s="637"/>
      <c r="AL49" s="616">
        <f>IF($G$30=1,AL42*2,AL42)</f>
        <v>182.92309060517741</v>
      </c>
      <c r="AM49" s="616"/>
      <c r="AN49" s="636">
        <f>IF(OR($G$36=2,$G$36=4),AN42*0.75,IF(OR($G$36=1,$G$36=3),AN42/4,AN42))</f>
        <v>179.92528801645804</v>
      </c>
      <c r="AO49" s="637"/>
      <c r="AP49" s="616">
        <f>IF(AND($G$30=3,$G$36=1),AP42*2*3,IF(AND($G$30=3,OR($G$36=2,$G$36=3)),AP42*2/4,IF(AND($G$30=3,OR($G$36=4,$G$36=0)),AP42*2,IF(AND($G$30&lt;&gt;3,$G$36=1),AP42*3,IF(AND($G$30&lt;&gt;3,OR($G$36=2,$G$36=3)),AP42/4,AP42)))))</f>
        <v>201.86753752000109</v>
      </c>
      <c r="AQ49" s="616"/>
      <c r="AR49" s="636">
        <f>IF(AND($G$30=3,$G$36=4),AR42*2*3,IF(AND($G$30=3,OR($G$36=1,$G$36=1)),AR42*2/4,IF(AND($G$30=3,OR($G$36=3,$G$36=0)),AR42*2,IF(AND($G$30&lt;&gt;3,$G$36=4),AR42*3,IF(AND($G$30&lt;&gt;3,OR($G$36=1,$G$36=2)),AR42/4,AR42)))))</f>
        <v>196.91283601920105</v>
      </c>
      <c r="AS49" s="637"/>
      <c r="AT49" s="616">
        <f>IF($G$30=4,AT42*2,AT42)</f>
        <v>190.18192077283115</v>
      </c>
      <c r="AU49" s="616"/>
      <c r="AV49" s="636">
        <f>IF(AND($G$30=4,$G$36=2),AV42*2*3,IF(AND($G$30=4,OR($G$36=3,$G$36=4)),AV42*2/4,IF(AND($G$30=4,OR($G$36=1,$G$36=0)),AV42*2,IF(AND($G$30&lt;&gt;4,$G$36=2),AV42*3,IF(AND($G$30&lt;&gt;4,OR($G$36=3,$G$36=4)),AV42/4,AV42)))))</f>
        <v>215.20711848369353</v>
      </c>
      <c r="AW49" s="637"/>
      <c r="AX49" s="616">
        <f>IF(AND($G$30=4,$G$36=3),AX42*2*3,IF(AND($G$30=4,OR($G$36=1,$G$36=4)),AX42*2/4,IF(AND($G$30=4,OR($G$36=2,$G$36=0)),AX42*2,IF(AND($G$30&lt;&gt;4,$G$36=3),AX42*3,IF(AND($G$30&lt;&gt;4,OR($G$36=1,$G$36=4)),AX42/4,AX42)))))</f>
        <v>215.20711848369353</v>
      </c>
      <c r="AY49" s="616"/>
      <c r="AZ49" s="636">
        <f>IF(AND($G$30=4,$G$36=4),AZ42*2*3,IF(AND($G$30=4,OR($G$36=1,$G$36=1)),AZ42*2/4,IF(AND($G$30=4,OR($G$36=3,$G$36=0)),AZ42*2,IF(AND($G$30&lt;&gt;4,$G$36=4),AZ42*3,IF(AND($G$30&lt;&gt;4,OR($G$36=1,$G$36=2)),AZ42/4,AZ42)))))</f>
        <v>215.20711848369353</v>
      </c>
      <c r="BA49" s="637"/>
      <c r="BB49" s="616">
        <f>IF(AND($G$30=4,$G$36=1),BB42*2*3,IF(AND($G$30=4,OR($G$36=2,$G$36=3)),BB42*2/4,IF(AND($G$30=4,OR($G$36=4,$G$36=0)),BB42*2,IF(AND($G$30&lt;&gt;4,$G$36=1),BB42*3,IF(AND($G$30&lt;&gt;4,OR($G$36=2,$G$36=3)),BB42/4,BB42)))))</f>
        <v>215.20711848369353</v>
      </c>
      <c r="BC49" s="616"/>
      <c r="BD49" s="636">
        <f>IF($G$30=2,BD42*2,BD42)</f>
        <v>174.41581298854138</v>
      </c>
      <c r="BE49" s="637"/>
      <c r="BF49" s="616">
        <f>IF(AND($G$30=3,$G$36=4),BF42*2*3,IF(AND($G$30=3,OR($G$36=1,$G$36=1)),BF42*2/4,IF(AND($G$30=3,OR($G$36=3,$G$36=0)),BF42*2,IF(AND($G$30&lt;&gt;3,$G$36=4),BF42*3,IF(AND($G$30&lt;&gt;3,OR($G$36=1,$G$36=2)),BF42/4,BF42)))))</f>
        <v>189.48078376800098</v>
      </c>
      <c r="BG49" s="616"/>
      <c r="BH49" s="636">
        <f>IF($G$36=3,BH42*3,IF(OR($G$36=1,$G$36=4),BH42/4,BH42))</f>
        <v>140.58570316800055</v>
      </c>
      <c r="BI49" s="637"/>
      <c r="BJ49" s="616">
        <f>IF($G$36=4,BJ42*3,IF(OR($G$36=1,$G$36=2),BJ42/4,BJ42))</f>
        <v>146.60355924184677</v>
      </c>
      <c r="BK49" s="616"/>
      <c r="BL49" s="636">
        <f>IF($G$30=2,BL42*2,BL42)</f>
        <v>169.47141232246236</v>
      </c>
      <c r="BM49" s="637"/>
      <c r="BN49" s="616">
        <f>IF(AND($G$30=3,$G$36=1),BN42*2*3,IF(AND($G$30=3,OR($G$36=2,$G$36=3)),BN42*2/4,IF(AND($G$30=3,OR($G$36=2,$G$36=0)),BN42*2,IF(AND($G$30&lt;&gt;3,$G$36=1),BN42*3,IF(AND($G$30&lt;&gt;3,OR($G$36=2,$G$36=3)),BN42/4,BN42)))))</f>
        <v>174.41581298854138</v>
      </c>
      <c r="BO49" s="616"/>
      <c r="BP49" s="636">
        <f>BP42</f>
        <v>193.07693808309779</v>
      </c>
      <c r="BQ49" s="637"/>
      <c r="BR49" s="616">
        <f>IF($G$30=4,BR42*2,BR42)</f>
        <v>126.20790649427069</v>
      </c>
      <c r="BS49" s="616"/>
      <c r="BT49" s="636">
        <f>IF($G$30=1,BT42*2,BT42)</f>
        <v>146.60355924184677</v>
      </c>
      <c r="BU49" s="637"/>
      <c r="BV49" s="616">
        <f>IF($G$30=3,BV42*2,BV42)</f>
        <v>131.24455344143328</v>
      </c>
      <c r="BW49" s="616"/>
      <c r="BX49" s="636">
        <f>IF(AND($G$30=2,$G$36=0),BX42*2,IF(AND($G$30=2,OR($G$36=2,$G$36=4)),BX42*2/4,IF(AND($G$30=2,OR($G$36=1,$G$36=3)),BX42*2*0.75,IF(AND($G$30&lt;&gt;2,OR($G$36=2,$G$36=4)),BX42/4,IF(AND($G$30&lt;&gt;2,OR($G$36=1,$G$36=3)),BX42*0.75,BX42)))))</f>
        <v>123.73570616123118</v>
      </c>
      <c r="BY49" s="637"/>
      <c r="BZ49" s="616">
        <f>IF(AND($G$30=2,$G$36=2),BZ42*2*3,IF(AND($G$30=2,OR($G$36=3,$G$36=4)),BZ42*2/4,IF(AND($G$30=2,OR($G$36=1,$G$36=0)),BZ42*2,IF(AND($G$30&lt;&gt;2,$G$36=2),BZ42*3,IF(AND($G$30&lt;&gt;2,OR($G$36=3,$G$36=4)),BZ42/4,BZ42)))))</f>
        <v>174.41581298854138</v>
      </c>
      <c r="CA49" s="616"/>
      <c r="CB49" s="636">
        <f>IF(AND($G$33=1,OR($G$36=2,$G$36=3)),CB42/2/4,IF(AND($G$33=1,$G$36=1),CB42/2*3,IF(AND($G$33=1,OR($G$36=4,$G$36=0)),CB42/2,IF(AND($G$33=0,OR($G$36=2,$G$36=3)),CB42/4,IF(AND($G$33=0,$G$36=1),CB42*3,CB42)))))</f>
        <v>57.975452556255483</v>
      </c>
      <c r="CC49" s="637"/>
      <c r="CD49" s="616">
        <f>IF(AND($G$30=3,$G$36=4),CD42*2*3,IF(AND($G$30=3,OR($G$36=1,$G$36=1)),CD42*2/4,IF(AND($G$30=3,OR($G$36=3,$G$36=0)),CD42*2,IF(AND($G$30&lt;&gt;3,$G$36=4),CD42*3,IF(AND($G$30&lt;&gt;3,OR($G$36=1,$G$36=2)),CD42/4,CD42)))))</f>
        <v>107.24086131619698</v>
      </c>
      <c r="CE49" s="616"/>
      <c r="CF49" s="636">
        <f>IF($G$30=1,CF42*2,CF42)</f>
        <v>196.91283601920105</v>
      </c>
      <c r="CG49" s="637"/>
      <c r="CH49" s="616">
        <f>IF($G$36=2,CH42*3,IF(OR($G$36=3,$G$36=4),CH42/4,CH42))</f>
        <v>188.10447779555653</v>
      </c>
      <c r="CI49" s="616"/>
      <c r="CJ49" s="636">
        <f>IF(AND($G$30=1,$G$36=1),CJ42*2*3,IF(AND($G$30=1,OR($G$36=2,$G$36=3)),CJ42*2/4,IF(AND($G$30=1,OR($G$36=4,$G$36=0)),CJ42*2,IF(AND($G$30&lt;&gt;1,$G$36=1),CJ42*3,IF(AND($G$30&lt;&gt;1,OR($G$36=2,$G$36=3)),CJ42/4,CJ42)))))</f>
        <v>197.31053781190738</v>
      </c>
      <c r="CK49" s="637"/>
      <c r="CL49" s="616">
        <f>IF(AND($G$30=2,$G$36=4),CL42*2*3,IF(AND($G$30=2,OR($G$36=1,$G$36=1)),CL42*2/4,IF(AND($G$30=2,OR($G$36=3,$G$36=0)),CL42*2,IF(AND($G$30&lt;&gt;2,$G$36=4),CL42*3,IF(AND($G$30&lt;&gt;2,OR($G$36=1,$G$36=2)),CL42/4,CL42)))))</f>
        <v>191.25032001828671</v>
      </c>
      <c r="CM49" s="616"/>
      <c r="CN49" s="636">
        <f t="shared" ref="CN49:CR51" si="2">CN42</f>
        <v>100.0208955591113</v>
      </c>
      <c r="CO49" s="637"/>
      <c r="CP49" s="616">
        <f t="shared" si="2"/>
        <v>234.46425792000136</v>
      </c>
      <c r="CQ49" s="616"/>
      <c r="CR49" s="636">
        <f t="shared" si="2"/>
        <v>81.49059205535815</v>
      </c>
      <c r="CS49" s="637"/>
    </row>
    <row r="50" spans="1:97">
      <c r="D50" s="634"/>
      <c r="G50" t="s">
        <v>740</v>
      </c>
      <c r="H50" s="636">
        <f>H43</f>
        <v>258.97707316587065</v>
      </c>
      <c r="I50" s="637"/>
      <c r="J50" s="616">
        <f>J43</f>
        <v>258.97707316587065</v>
      </c>
      <c r="K50" s="616"/>
      <c r="L50" s="636">
        <f>IF($G$30=1,L43*2,L43)</f>
        <v>258.58410678486638</v>
      </c>
      <c r="M50" s="637"/>
      <c r="N50" s="616">
        <f>N43</f>
        <v>257.02978440285864</v>
      </c>
      <c r="O50" s="616"/>
      <c r="P50" s="636">
        <f>IF($G$30=1,P43*2,P43)</f>
        <v>254.00294608000149</v>
      </c>
      <c r="Q50" s="637"/>
      <c r="R50" s="616">
        <f>R43</f>
        <v>252.1645193329299</v>
      </c>
      <c r="S50" s="616"/>
      <c r="T50" s="636">
        <f>T43</f>
        <v>258.58410678486638</v>
      </c>
      <c r="U50" s="637"/>
      <c r="V50" s="616">
        <f>IF($G$30=2,V43*2,V43)</f>
        <v>244.85963363585202</v>
      </c>
      <c r="W50" s="616"/>
      <c r="X50" s="636">
        <f>IF($G$30=1,X43*2,X43)</f>
        <v>254.7496550935698</v>
      </c>
      <c r="Y50" s="637"/>
      <c r="Z50" s="616">
        <f>IF($G$30=1,Z43*2,Z43)</f>
        <v>239.08668682496136</v>
      </c>
      <c r="AA50" s="616"/>
      <c r="AB50" s="636">
        <f>IF(AND($G$33=1,OR($G$36=1,$G$36=2)),AB43/2/4,IF(AND($G$33=1,$G$36=4),AB43/2*3,IF(AND($G$33=1,OR($G$36=3,$G$36=0)),AB43/2,IF(AND($G$33=0,OR($G$36=1,$G$36=2)),AB43/4,IF(AND($G$33=0,$G$36=4),AB43*3,AB43)))))</f>
        <v>88.257942507428965</v>
      </c>
      <c r="AC50" s="637"/>
      <c r="AD50" s="616">
        <f>IF($G$36=2,AD43*3,IF(OR($G$36=3,$G$36=4),AD43/4,AD43))</f>
        <v>237.55612556926866</v>
      </c>
      <c r="AE50" s="616"/>
      <c r="AF50" s="636">
        <f>IF($G$30=1,AF43*2,AF43)</f>
        <v>209.16668292335595</v>
      </c>
      <c r="AG50" s="637"/>
      <c r="AH50" s="616">
        <f>IF(AND($G$30=1,$G$36=3),AH43*2*3,IF(AND($G$30=1,OR($G$36=1,$G$36=4)),AH43*2/4,IF(AND($G$30=1,OR($G$36=2,$G$36=0)),AH43*2,IF(AND($G$30&lt;&gt;1,$G$36=3),AH43*3,IF(AND($G$30&lt;&gt;1,OR($G$36=1,$G$36=4)),AH43/4,AH43)))))</f>
        <v>252.52900741843624</v>
      </c>
      <c r="AI50" s="616"/>
      <c r="AJ50" s="636">
        <f>IF($G$30=3,AJ43*2,AJ43)</f>
        <v>222.52382752228692</v>
      </c>
      <c r="AK50" s="637"/>
      <c r="AL50" s="616">
        <f>IF($G$30=1,AL43*2,AL43)</f>
        <v>198.1666814889422</v>
      </c>
      <c r="AM50" s="616"/>
      <c r="AN50" s="636">
        <f>IF(OR($G$36=2,$G$36=4),AN43*0.75,IF(OR($G$36=1,$G$36=3),AN43/4,AN43))</f>
        <v>194.91906201782953</v>
      </c>
      <c r="AO50" s="637"/>
      <c r="AP50" s="616">
        <f>IF(AND($G$30=3,$G$36=1),AP43*2*3,IF(AND($G$30=3,OR($G$36=2,$G$36=3)),AP43*2/4,IF(AND($G$30=3,OR($G$36=4,$G$36=0)),AP43*2,IF(AND($G$30&lt;&gt;3,$G$36=1),AP43*3,IF(AND($G$30&lt;&gt;3,OR($G$36=2,$G$36=3)),AP43/4,AP43)))))</f>
        <v>218.68983231333451</v>
      </c>
      <c r="AQ50" s="616"/>
      <c r="AR50" s="636">
        <f>IF(AND($G$30=3,$G$36=4),AR43*2*3,IF(AND($G$30=3,OR($G$36=1,$G$36=1)),AR43*2/4,IF(AND($G$30=3,OR($G$36=3,$G$36=0)),AR43*2,IF(AND($G$30&lt;&gt;3,$G$36=4),AR43*3,IF(AND($G$30&lt;&gt;3,OR($G$36=1,$G$36=2)),AR43/4,AR43)))))</f>
        <v>213.32223902080116</v>
      </c>
      <c r="AS50" s="637"/>
      <c r="AT50" s="616">
        <f>IF($G$30=4,AT43*2,AT43)</f>
        <v>206.0304141705671</v>
      </c>
      <c r="AU50" s="616"/>
      <c r="AV50" s="636">
        <f>IF(AND($G$30=4,$G$36=2),AV43*2*3,IF(AND($G$30=4,OR($G$36=3,$G$36=4)),AV43*2/4,IF(AND($G$30=4,OR($G$36=1,$G$36=0)),AV43*2,IF(AND($G$30&lt;&gt;4,$G$36=2),AV43*3,IF(AND($G$30&lt;&gt;4,OR($G$36=3,$G$36=4)),AV43/4,AV43)))))</f>
        <v>233.14104502400133</v>
      </c>
      <c r="AW50" s="637"/>
      <c r="AX50" s="616">
        <f>IF(AND($G$30=4,$G$36=3),AX43*2*3,IF(AND($G$30=4,OR($G$36=1,$G$36=4)),AX43*2/4,IF(AND($G$30=4,OR($G$36=2,$G$36=0)),AX43*2,IF(AND($G$30&lt;&gt;4,$G$36=3),AX43*3,IF(AND($G$30&lt;&gt;4,OR($G$36=1,$G$36=4)),AX43/4,AX43)))))</f>
        <v>233.14104502400133</v>
      </c>
      <c r="AY50" s="616"/>
      <c r="AZ50" s="636">
        <f>IF(AND($G$30=4,$G$36=4),AZ43*2*3,IF(AND($G$30=4,OR($G$36=1,$G$36=1)),AZ43*2/4,IF(AND($G$30=4,OR($G$36=3,$G$36=0)),AZ43*2,IF(AND($G$30&lt;&gt;4,$G$36=4),AZ43*3,IF(AND($G$30&lt;&gt;4,OR($G$36=1,$G$36=2)),AZ43/4,AZ43)))))</f>
        <v>233.14104502400133</v>
      </c>
      <c r="BA50" s="637"/>
      <c r="BB50" s="616">
        <f>IF(AND($G$30=4,$G$36=1),BB43*2*3,IF(AND($G$30=4,OR($G$36=2,$G$36=3)),BB43*2/4,IF(AND($G$30=4,OR($G$36=4,$G$36=0)),BB43*2,IF(AND($G$30&lt;&gt;4,$G$36=1),BB43*3,IF(AND($G$30&lt;&gt;4,OR($G$36=2,$G$36=3)),BB43/4,BB43)))))</f>
        <v>233.14104502400133</v>
      </c>
      <c r="BC50" s="616"/>
      <c r="BD50" s="636">
        <f>IF($G$30=2,BD43*2,BD43)</f>
        <v>188.95046407091985</v>
      </c>
      <c r="BE50" s="637"/>
      <c r="BF50" s="616">
        <f>IF(AND($G$30=3,$G$36=4),BF43*2*3,IF(AND($G$30=3,OR($G$36=1,$G$36=1)),BF43*2/4,IF(AND($G$30=3,OR($G$36=3,$G$36=0)),BF43*2,IF(AND($G$30&lt;&gt;3,$G$36=4),BF43*3,IF(AND($G$30&lt;&gt;3,OR($G$36=1,$G$36=2)),BF43/4,BF43)))))</f>
        <v>205.27084908200109</v>
      </c>
      <c r="BG50" s="616"/>
      <c r="BH50" s="636">
        <f>IF($G$36=3,BH43*3,IF(OR($G$36=1,$G$36=4),BH43/4,BH43))</f>
        <v>152.3011784320006</v>
      </c>
      <c r="BI50" s="637"/>
      <c r="BJ50" s="616">
        <f>IF($G$36=4,BJ43*3,IF(OR($G$36=1,$G$36=2),BJ43/4,BJ43))</f>
        <v>158.82052251200068</v>
      </c>
      <c r="BK50" s="616"/>
      <c r="BL50" s="636">
        <f>IF($G$30=2,BL43*2,BL43)</f>
        <v>183.59403001600089</v>
      </c>
      <c r="BM50" s="637"/>
      <c r="BN50" s="616">
        <f>IF(AND($G$30=3,$G$36=1),BN43*2*3,IF(AND($G$30=3,OR($G$36=2,$G$36=3)),BN43*2/4,IF(AND($G$30=3,OR($G$36=2,$G$36=0)),BN43*2,IF(AND($G$30&lt;&gt;3,$G$36=1),BN43*3,IF(AND($G$30&lt;&gt;3,OR($G$36=2,$G$36=3)),BN43/4,BN43)))))</f>
        <v>188.95046407091985</v>
      </c>
      <c r="BO50" s="616"/>
      <c r="BP50" s="636">
        <f>BP43</f>
        <v>209.16668292335595</v>
      </c>
      <c r="BQ50" s="637"/>
      <c r="BR50" s="616">
        <f>IF($G$30=4,BR43*2,BR43)</f>
        <v>136.72523203545992</v>
      </c>
      <c r="BS50" s="616"/>
      <c r="BT50" s="636">
        <f>IF($G$30=1,BT43*2,BT43)</f>
        <v>158.82052251200068</v>
      </c>
      <c r="BU50" s="637"/>
      <c r="BV50" s="616">
        <f>IF($G$30=3,BV43*2,BV43)</f>
        <v>142.18159956155276</v>
      </c>
      <c r="BW50" s="616"/>
      <c r="BX50" s="636">
        <f>IF(AND($G$30=2,$G$36=0),BX43*2,IF(AND($G$30=2,OR($G$36=2,$G$36=4)),BX43*2/4,IF(AND($G$30=2,OR($G$36=1,$G$36=3)),BX43*2*0.75,IF(AND($G$30&lt;&gt;2,OR($G$36=2,$G$36=4)),BX43/4,IF(AND($G$30&lt;&gt;2,OR($G$36=1,$G$36=3)),BX43*0.75,BX43)))))</f>
        <v>134.04701500800044</v>
      </c>
      <c r="BY50" s="637"/>
      <c r="BZ50" s="616">
        <f>IF(AND($G$30=2,$G$36=2),BZ43*2*3,IF(AND($G$30=2,OR($G$36=3,$G$36=4)),BZ43*2/4,IF(AND($G$30=2,OR($G$36=1,$G$36=0)),BZ43*2,IF(AND($G$30&lt;&gt;2,$G$36=2),BZ43*3,IF(AND($G$30&lt;&gt;2,OR($G$36=3,$G$36=4)),BZ43/4,BZ43)))))</f>
        <v>188.95046407091985</v>
      </c>
      <c r="CA50" s="616"/>
      <c r="CB50" s="636">
        <f>IF(AND($G$33=1,OR($G$36=2,$G$36=3)),CB43/2/4,IF(AND($G$33=1,$G$36=1),CB43/2*3,IF(AND($G$33=1,OR($G$36=4,$G$36=0)),CB43/2,IF(AND($G$33=0,OR($G$36=2,$G$36=3)),CB43/4,IF(AND($G$33=0,$G$36=1),CB43*3,CB43)))))</f>
        <v>62.80674026927678</v>
      </c>
      <c r="CC50" s="637"/>
      <c r="CD50" s="616">
        <f>IF(AND($G$30=3,$G$36=4),CD43*2*3,IF(AND($G$30=3,OR($G$36=1,$G$36=1)),CD43*2/4,IF(AND($G$30=3,OR($G$36=3,$G$36=0)),CD43*2,IF(AND($G$30&lt;&gt;3,$G$36=4),CD43*3,IF(AND($G$30&lt;&gt;3,OR($G$36=1,$G$36=2)),CD43/4,CD43)))))</f>
        <v>116.17759975921339</v>
      </c>
      <c r="CE50" s="616"/>
      <c r="CF50" s="636">
        <f>IF($G$30=1,CF43*2,CF43)</f>
        <v>213.32223902080116</v>
      </c>
      <c r="CG50" s="637"/>
      <c r="CH50" s="616">
        <f>IF($G$36=2,CH43*3,IF(OR($G$36=3,$G$36=4),CH43/4,CH43))</f>
        <v>203.77985094518627</v>
      </c>
      <c r="CI50" s="616"/>
      <c r="CJ50" s="636">
        <f>IF(AND($G$30=1,$G$36=1),CJ43*2*3,IF(AND($G$30=1,OR($G$36=2,$G$36=3)),CJ43*2/4,IF(AND($G$30=1,OR($G$36=4,$G$36=0)),CJ43*2,IF(AND($G$30&lt;&gt;1,$G$36=1),CJ43*3,IF(AND($G$30&lt;&gt;1,OR($G$36=2,$G$36=3)),CJ43/4,CJ43)))))</f>
        <v>213.75308262956636</v>
      </c>
      <c r="CK50" s="637"/>
      <c r="CL50" s="616">
        <f>IF(AND($G$30=2,$G$36=4),CL43*2*3,IF(AND($G$30=2,OR($G$36=1,$G$36=1)),CL43*2/4,IF(AND($G$30=2,OR($G$36=3,$G$36=0)),CL43*2,IF(AND($G$30&lt;&gt;2,$G$36=4),CL43*3,IF(AND($G$30&lt;&gt;2,OR($G$36=1,$G$36=2)),CL43/4,CL43)))))</f>
        <v>207.18784668647729</v>
      </c>
      <c r="CM50" s="616"/>
      <c r="CN50" s="636">
        <f t="shared" si="2"/>
        <v>108.35597018903724</v>
      </c>
      <c r="CO50" s="637"/>
      <c r="CP50" s="616">
        <f t="shared" si="2"/>
        <v>254.00294608000149</v>
      </c>
      <c r="CQ50" s="616"/>
      <c r="CR50" s="636">
        <f t="shared" si="2"/>
        <v>88.281474726637995</v>
      </c>
      <c r="CS50" s="637"/>
    </row>
    <row r="51" spans="1:97">
      <c r="D51" s="634"/>
      <c r="G51" t="s">
        <v>741</v>
      </c>
      <c r="H51" s="639">
        <f>H44</f>
        <v>338.66232644767695</v>
      </c>
      <c r="I51" s="640"/>
      <c r="J51" s="641">
        <f>J44</f>
        <v>338.66232644767695</v>
      </c>
      <c r="K51" s="641"/>
      <c r="L51" s="639">
        <f>IF($G$30=1,L44*2,L44)</f>
        <v>338.14844733405607</v>
      </c>
      <c r="M51" s="640"/>
      <c r="N51" s="641">
        <f>N44</f>
        <v>336.11587191143053</v>
      </c>
      <c r="O51" s="641"/>
      <c r="P51" s="639">
        <f>IF($G$30=1,P44*2,P44)</f>
        <v>332.15769872000192</v>
      </c>
      <c r="Q51" s="640"/>
      <c r="R51" s="641">
        <f>R44</f>
        <v>329.75360220460061</v>
      </c>
      <c r="S51" s="641"/>
      <c r="T51" s="639">
        <f>T44</f>
        <v>338.14844733405607</v>
      </c>
      <c r="U51" s="640"/>
      <c r="V51" s="641">
        <f>IF($G$30=2,V44*2,V44)</f>
        <v>320.20105936996032</v>
      </c>
      <c r="W51" s="641"/>
      <c r="X51" s="639">
        <f>IF($G$30=1,X44*2,X44)</f>
        <v>333.13416435312973</v>
      </c>
      <c r="Y51" s="640"/>
      <c r="Z51" s="641">
        <f>IF($G$30=1,Z44*2,Z44)</f>
        <v>312.65182123264179</v>
      </c>
      <c r="AA51" s="641"/>
      <c r="AB51" s="639">
        <f>IF(AND($G$33=1,OR($G$36=1,$G$36=2)),AB44/2/4,IF(AND($G$33=1,$G$36=4),AB44/2*3,IF(AND($G$33=1,OR($G$36=3,$G$36=0)),AB44/2,IF(AND($G$33=0,OR($G$36=1,$G$36=2)),AB44/4,IF(AND($G$33=0,$G$36=4),AB44*3,AB44)))))</f>
        <v>115.41423250971479</v>
      </c>
      <c r="AC51" s="640"/>
      <c r="AD51" s="641">
        <f>IF($G$36=2,AD44*3,IF(OR($G$36=3,$G$36=4),AD44/4,AD44))</f>
        <v>310.65031805212055</v>
      </c>
      <c r="AE51" s="641"/>
      <c r="AF51" s="639">
        <f>IF($G$30=1,AF44*2,AF44)</f>
        <v>273.52566228438855</v>
      </c>
      <c r="AG51" s="640"/>
      <c r="AH51" s="641">
        <f>IF(AND($G$30=1,$G$36=3),AH44*2*3,IF(AND($G$30=1,OR($G$36=1,$G$36=4)),AH44*2/4,IF(AND($G$30=1,OR($G$36=2,$G$36=0)),AH44*2,IF(AND($G$30&lt;&gt;1,$G$36=3),AH44*3,IF(AND($G$30&lt;&gt;1,OR($G$36=1,$G$36=4)),AH44/4,AH44)))))</f>
        <v>330.23024047026274</v>
      </c>
      <c r="AI51" s="641"/>
      <c r="AJ51" s="639">
        <f>IF($G$30=3,AJ44*2,AJ44)</f>
        <v>290.99269752914444</v>
      </c>
      <c r="AK51" s="640"/>
      <c r="AL51" s="641">
        <f>IF($G$30=1,AL44*2,AL44)</f>
        <v>259.1410450240013</v>
      </c>
      <c r="AM51" s="641"/>
      <c r="AN51" s="639">
        <f>IF(OR($G$36=2,$G$36=4),AN44*0.75,IF(OR($G$36=1,$G$36=3),AN44/4,AN44))</f>
        <v>254.89415802331555</v>
      </c>
      <c r="AO51" s="640"/>
      <c r="AP51" s="641">
        <f>IF(AND($G$30=3,$G$36=1),AP44*2*3,IF(AND($G$30=3,OR($G$36=2,$G$36=3)),AP44*2/4,IF(AND($G$30=3,OR($G$36=4,$G$36=0)),AP44*2,IF(AND($G$30&lt;&gt;3,$G$36=1),AP44*3,IF(AND($G$30&lt;&gt;3,OR($G$36=2,$G$36=3)),AP44/4,AP44)))))</f>
        <v>285.97901148666818</v>
      </c>
      <c r="AQ51" s="641"/>
      <c r="AR51" s="639">
        <f>IF(AND($G$30=3,$G$36=4),AR44*2*3,IF(AND($G$30=3,OR($G$36=1,$G$36=1)),AR44*2/4,IF(AND($G$30=3,OR($G$36=3,$G$36=0)),AR44*2,IF(AND($G$30&lt;&gt;3,$G$36=4),AR44*3,IF(AND($G$30&lt;&gt;3,OR($G$36=1,$G$36=2)),AR44/4,AR44)))))</f>
        <v>278.95985102720152</v>
      </c>
      <c r="AS51" s="640"/>
      <c r="AT51" s="641">
        <f>IF($G$30=4,AT44*2,AT44)</f>
        <v>269.42438776151079</v>
      </c>
      <c r="AU51" s="641"/>
      <c r="AV51" s="639">
        <f>IF(AND($G$30=4,$G$36=2),AV44*2*3,IF(AND($G$30=4,OR($G$36=3,$G$36=4)),AV44*2/4,IF(AND($G$30=4,OR($G$36=1,$G$36=0)),AV44*2,IF(AND($G$30&lt;&gt;4,$G$36=2),AV44*3,IF(AND($G$30&lt;&gt;4,OR($G$36=3,$G$36=4)),AV44/4,AV44)))))</f>
        <v>304.87675118523248</v>
      </c>
      <c r="AW51" s="640"/>
      <c r="AX51" s="641">
        <f>IF(AND($G$30=4,$G$36=3),AX44*2*3,IF(AND($G$30=4,OR($G$36=1,$G$36=4)),AX44*2/4,IF(AND($G$30=4,OR($G$36=2,$G$36=0)),AX44*2,IF(AND($G$30&lt;&gt;4,$G$36=3),AX44*3,IF(AND($G$30&lt;&gt;4,OR($G$36=1,$G$36=4)),AX44/4,AX44)))))</f>
        <v>304.87675118523248</v>
      </c>
      <c r="AY51" s="641"/>
      <c r="AZ51" s="639">
        <f>IF(AND($G$30=4,$G$36=4),AZ44*2*3,IF(AND($G$30=4,OR($G$36=1,$G$36=1)),AZ44*2/4,IF(AND($G$30=4,OR($G$36=3,$G$36=0)),AZ44*2,IF(AND($G$30&lt;&gt;4,$G$36=4),AZ44*3,IF(AND($G$30&lt;&gt;4,OR($G$36=1,$G$36=2)),AZ44/4,AZ44)))))</f>
        <v>304.87675118523248</v>
      </c>
      <c r="BA51" s="640"/>
      <c r="BB51" s="641">
        <f>IF(AND($G$30=4,$G$36=1),BB44*2*3,IF(AND($G$30=4,OR($G$36=2,$G$36=3)),BB44*2/4,IF(AND($G$30=4,OR($G$36=4,$G$36=0)),BB44*2,IF(AND($G$30&lt;&gt;4,$G$36=1),BB44*3,IF(AND($G$30&lt;&gt;4,OR($G$36=2,$G$36=3)),BB44/4,BB44)))))</f>
        <v>304.87675118523248</v>
      </c>
      <c r="BC51" s="641"/>
      <c r="BD51" s="639">
        <f>IF($G$30=2,BD44*2,BD44)</f>
        <v>247.0890684004336</v>
      </c>
      <c r="BE51" s="640"/>
      <c r="BF51" s="641">
        <f>IF(AND($G$30=3,$G$36=4),BF44*2*3,IF(AND($G$30=3,OR($G$36=1,$G$36=1)),BF44*2/4,IF(AND($G$30=3,OR($G$36=3,$G$36=0)),BF44*2,IF(AND($G$30&lt;&gt;3,$G$36=4),BF44*3,IF(AND($G$30&lt;&gt;3,OR($G$36=1,$G$36=2)),BF44/4,BF44)))))</f>
        <v>268.43111033800142</v>
      </c>
      <c r="BG51" s="641"/>
      <c r="BH51" s="639">
        <f>IF($G$36=3,BH44*3,IF(OR($G$36=1,$G$36=4),BH44/4,BH44))</f>
        <v>199.16307948800076</v>
      </c>
      <c r="BI51" s="640"/>
      <c r="BJ51" s="641">
        <f>IF($G$36=4,BJ44*3,IF(OR($G$36=1,$G$36=2),BJ44/4,BJ44))</f>
        <v>207.68837559261624</v>
      </c>
      <c r="BK51" s="641"/>
      <c r="BL51" s="639">
        <f>IF($G$30=2,BL44*2,BL44)</f>
        <v>240.084500790155</v>
      </c>
      <c r="BM51" s="640"/>
      <c r="BN51" s="641">
        <f>IF(AND($G$30=3,$G$36=1),BN44*2*3,IF(AND($G$30=3,OR($G$36=2,$G$36=3)),BN44*2/4,IF(AND($G$30=3,OR($G$36=2,$G$36=0)),BN44*2,IF(AND($G$30&lt;&gt;3,$G$36=1),BN44*3,IF(AND($G$30&lt;&gt;3,OR($G$36=2,$G$36=3)),BN44/4,BN44)))))</f>
        <v>247.0890684004336</v>
      </c>
      <c r="BO51" s="641"/>
      <c r="BP51" s="639">
        <f>BP44</f>
        <v>273.52566228438855</v>
      </c>
      <c r="BQ51" s="640"/>
      <c r="BR51" s="641">
        <f>IF($G$30=4,BR44*2,BR44)</f>
        <v>178.79453420021682</v>
      </c>
      <c r="BS51" s="641"/>
      <c r="BT51" s="639">
        <f>IF($G$30=1,BT44*2,BT44)</f>
        <v>207.68837559261624</v>
      </c>
      <c r="BU51" s="640"/>
      <c r="BV51" s="641">
        <f>IF($G$30=3,BV44*2,BV44)</f>
        <v>185.92978404203049</v>
      </c>
      <c r="BW51" s="641"/>
      <c r="BX51" s="639">
        <f>IF(AND($G$30=2,$G$36=0),BX44*2,IF(AND($G$30=2,OR($G$36=2,$G$36=4)),BX44*2/4,IF(AND($G$30=2,OR($G$36=1,$G$36=3)),BX44*2*0.75,IF(AND($G$30&lt;&gt;2,OR($G$36=2,$G$36=4)),BX44/4,IF(AND($G$30&lt;&gt;2,OR($G$36=1,$G$36=3)),BX44*0.75,BX44)))))</f>
        <v>175.2922503950775</v>
      </c>
      <c r="BY51" s="640"/>
      <c r="BZ51" s="641">
        <f>IF(AND($G$30=2,$G$36=2),BZ44*2*3,IF(AND($G$30=2,OR($G$36=3,$G$36=4)),BZ44*2/4,IF(AND($G$30=2,OR($G$36=1,$G$36=0)),BZ44*2,IF(AND($G$30&lt;&gt;2,$G$36=2),BZ44*3,IF(AND($G$30&lt;&gt;2,OR($G$36=3,$G$36=4)),BZ44/4,BZ44)))))</f>
        <v>247.0890684004336</v>
      </c>
      <c r="CA51" s="641"/>
      <c r="CB51" s="639">
        <f>IF(AND($G$33=1,OR($G$36=2,$G$36=3)),CB44/2/4,IF(AND($G$33=1,$G$36=1),CB44/2*3,IF(AND($G$33=1,OR($G$36=4,$G$36=0)),CB44/2,IF(AND($G$33=0,OR($G$36=2,$G$36=3)),CB44/4,IF(AND($G$33=0,$G$36=1),CB44*3,CB44)))))</f>
        <v>82.131891121361932</v>
      </c>
      <c r="CC51" s="640"/>
      <c r="CD51" s="641">
        <f>IF(AND($G$30=3,$G$36=4),CD44*2*3,IF(AND($G$30=3,OR($G$36=1,$G$36=1)),CD44*2/4,IF(AND($G$30=3,OR($G$36=3,$G$36=0)),CD44*2,IF(AND($G$30&lt;&gt;3,$G$36=4),CD44*3,IF(AND($G$30&lt;&gt;3,OR($G$36=1,$G$36=2)),CD44/4,CD44)))))</f>
        <v>151.92455353127906</v>
      </c>
      <c r="CE51" s="641"/>
      <c r="CF51" s="639">
        <f>IF($G$30=1,CF44*2,CF44)</f>
        <v>278.95985102720152</v>
      </c>
      <c r="CG51" s="640"/>
      <c r="CH51" s="641">
        <f>IF($G$36=2,CH44*3,IF(OR($G$36=3,$G$36=4),CH44/4,CH44))</f>
        <v>266.48134354370512</v>
      </c>
      <c r="CI51" s="641"/>
      <c r="CJ51" s="639">
        <f>IF(AND($G$30=1,$G$36=1),CJ44*2*3,IF(AND($G$30=1,OR($G$36=2,$G$36=3)),CJ44*2/4,IF(AND($G$30=1,OR($G$36=4,$G$36=0)),CJ44*2,IF(AND($G$30&lt;&gt;1,$G$36=1),CJ44*3,IF(AND($G$30&lt;&gt;1,OR($G$36=2,$G$36=3)),CJ44/4,CJ44)))))</f>
        <v>279.52326190020216</v>
      </c>
      <c r="CK51" s="640"/>
      <c r="CL51" s="641">
        <f>IF(AND($G$30=2,$G$36=4),CL44*2*3,IF(AND($G$30=2,OR($G$36=1,$G$36=1)),CL44*2/4,IF(AND($G$30=2,OR($G$36=3,$G$36=0)),CL44*2,IF(AND($G$30&lt;&gt;2,$G$36=4),CL44*3,IF(AND($G$30&lt;&gt;2,OR($G$36=1,$G$36=2)),CL44/4,CL44)))))</f>
        <v>270.93795335923949</v>
      </c>
      <c r="CM51" s="641"/>
      <c r="CN51" s="639">
        <f t="shared" si="2"/>
        <v>141.696268708741</v>
      </c>
      <c r="CO51" s="640"/>
      <c r="CP51" s="641">
        <f t="shared" si="2"/>
        <v>332.15769872000192</v>
      </c>
      <c r="CQ51" s="641"/>
      <c r="CR51" s="639">
        <f t="shared" si="2"/>
        <v>115.44500541175738</v>
      </c>
      <c r="CS51" s="640"/>
    </row>
    <row r="52" spans="1:97"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365"/>
      <c r="Z52" s="365"/>
      <c r="AA52" s="365"/>
      <c r="AB52" s="365"/>
      <c r="AC52" s="365"/>
      <c r="AD52" s="365"/>
      <c r="AE52" s="365"/>
      <c r="AF52" s="365"/>
      <c r="AG52" s="365"/>
      <c r="AH52" s="365"/>
      <c r="AI52" s="365"/>
      <c r="AJ52" s="365"/>
      <c r="AK52" s="365"/>
      <c r="AL52" s="365"/>
      <c r="AM52" s="365"/>
      <c r="AN52" s="365"/>
      <c r="AO52" s="365"/>
      <c r="AP52" s="365"/>
      <c r="AQ52" s="365"/>
      <c r="AR52" s="365"/>
      <c r="AS52" s="365"/>
      <c r="AT52" s="365"/>
      <c r="AU52" s="365"/>
      <c r="AV52" s="365"/>
      <c r="AW52" s="365"/>
      <c r="AX52" s="365"/>
      <c r="AY52" s="365"/>
      <c r="AZ52" s="365"/>
      <c r="BA52" s="365"/>
      <c r="BB52" s="365"/>
      <c r="BC52" s="365"/>
      <c r="BD52" s="365"/>
      <c r="BE52" s="365"/>
      <c r="BF52" s="365"/>
      <c r="BG52" s="365"/>
      <c r="BH52" s="365"/>
      <c r="BI52" s="365"/>
      <c r="BJ52" s="365"/>
      <c r="BK52" s="365"/>
      <c r="BL52" s="365"/>
      <c r="BM52" s="365"/>
      <c r="BN52" s="365"/>
      <c r="BO52" s="365"/>
      <c r="BP52" s="365"/>
      <c r="BQ52" s="365"/>
      <c r="BR52" s="365"/>
      <c r="BS52" s="365"/>
      <c r="BT52" s="365"/>
      <c r="BU52" s="365"/>
      <c r="BV52" s="365"/>
      <c r="BW52" s="365"/>
      <c r="BX52" s="365"/>
      <c r="BY52" s="365"/>
      <c r="BZ52" s="365"/>
      <c r="CA52" s="365"/>
      <c r="CB52" s="365"/>
      <c r="CC52" s="365"/>
      <c r="CD52" s="365"/>
      <c r="CE52" s="365"/>
      <c r="CF52" s="365"/>
      <c r="CG52" s="365"/>
      <c r="CH52" s="365"/>
      <c r="CI52" s="365"/>
      <c r="CJ52" s="365"/>
      <c r="CK52" s="365"/>
      <c r="CL52" s="365"/>
      <c r="CM52" s="365"/>
      <c r="CN52" s="365"/>
      <c r="CO52" s="365"/>
      <c r="CP52" s="365"/>
      <c r="CQ52" s="365"/>
      <c r="CR52" s="365"/>
      <c r="CS52" s="365"/>
    </row>
    <row r="54" spans="1:97" ht="15" customHeight="1">
      <c r="D54" s="602" t="s">
        <v>767</v>
      </c>
      <c r="H54" s="603" t="s">
        <v>33</v>
      </c>
      <c r="I54" s="604"/>
      <c r="J54" s="605" t="s">
        <v>37</v>
      </c>
      <c r="K54" s="605"/>
      <c r="L54" s="603" t="s">
        <v>35</v>
      </c>
      <c r="M54" s="604"/>
      <c r="N54" s="605" t="s">
        <v>36</v>
      </c>
      <c r="O54" s="605"/>
      <c r="P54" s="603" t="s">
        <v>405</v>
      </c>
      <c r="Q54" s="604"/>
      <c r="R54" s="605" t="s">
        <v>38</v>
      </c>
      <c r="S54" s="605"/>
      <c r="T54" s="603" t="s">
        <v>572</v>
      </c>
      <c r="U54" s="604"/>
      <c r="V54" s="605" t="s">
        <v>406</v>
      </c>
      <c r="W54" s="605"/>
      <c r="X54" s="603" t="s">
        <v>749</v>
      </c>
      <c r="Y54" s="604"/>
      <c r="Z54" s="605" t="s">
        <v>39</v>
      </c>
      <c r="AA54" s="605"/>
      <c r="AB54" s="603" t="s">
        <v>750</v>
      </c>
      <c r="AC54" s="604"/>
      <c r="AD54" s="605" t="s">
        <v>751</v>
      </c>
      <c r="AE54" s="605"/>
      <c r="AF54" s="603" t="s">
        <v>40</v>
      </c>
      <c r="AG54" s="604"/>
      <c r="AH54" s="605" t="s">
        <v>567</v>
      </c>
      <c r="AI54" s="605"/>
      <c r="AJ54" s="603" t="s">
        <v>41</v>
      </c>
      <c r="AK54" s="604"/>
      <c r="AL54" s="605" t="s">
        <v>42</v>
      </c>
      <c r="AM54" s="605"/>
      <c r="AN54" s="603" t="s">
        <v>590</v>
      </c>
      <c r="AO54" s="604"/>
      <c r="AP54" s="605" t="s">
        <v>43</v>
      </c>
      <c r="AQ54" s="605"/>
      <c r="AR54" s="603" t="s">
        <v>566</v>
      </c>
      <c r="AS54" s="604"/>
      <c r="AT54" s="605" t="s">
        <v>44</v>
      </c>
      <c r="AU54" s="605"/>
      <c r="AV54" s="603" t="s">
        <v>754</v>
      </c>
      <c r="AW54" s="604"/>
      <c r="AX54" s="605" t="s">
        <v>755</v>
      </c>
      <c r="AY54" s="605"/>
      <c r="AZ54" s="603" t="s">
        <v>756</v>
      </c>
      <c r="BA54" s="604"/>
      <c r="BB54" s="605" t="s">
        <v>757</v>
      </c>
      <c r="BC54" s="605"/>
      <c r="BD54" s="603" t="s">
        <v>45</v>
      </c>
      <c r="BE54" s="604"/>
      <c r="BF54" s="605" t="s">
        <v>752</v>
      </c>
      <c r="BG54" s="605"/>
      <c r="BH54" s="603" t="s">
        <v>46</v>
      </c>
      <c r="BI54" s="604"/>
      <c r="BJ54" s="605" t="s">
        <v>47</v>
      </c>
      <c r="BK54" s="605"/>
      <c r="BL54" s="603" t="s">
        <v>48</v>
      </c>
      <c r="BM54" s="604"/>
      <c r="BN54" s="605" t="s">
        <v>570</v>
      </c>
      <c r="BO54" s="605"/>
      <c r="BP54" s="603" t="s">
        <v>595</v>
      </c>
      <c r="BQ54" s="604"/>
      <c r="BR54" s="605" t="s">
        <v>51</v>
      </c>
      <c r="BS54" s="605"/>
      <c r="BT54" s="603" t="s">
        <v>568</v>
      </c>
      <c r="BU54" s="604"/>
      <c r="BV54" s="605" t="s">
        <v>49</v>
      </c>
      <c r="BW54" s="605"/>
      <c r="BX54" s="603" t="s">
        <v>565</v>
      </c>
      <c r="BY54" s="604"/>
      <c r="BZ54" s="605" t="s">
        <v>57</v>
      </c>
      <c r="CA54" s="605"/>
      <c r="CB54" s="603" t="s">
        <v>50</v>
      </c>
      <c r="CC54" s="604"/>
      <c r="CD54" s="605" t="s">
        <v>618</v>
      </c>
      <c r="CE54" s="605"/>
      <c r="CF54" s="603" t="s">
        <v>619</v>
      </c>
      <c r="CG54" s="604"/>
      <c r="CH54" s="605" t="s">
        <v>52</v>
      </c>
      <c r="CI54" s="605"/>
      <c r="CJ54" s="603" t="s">
        <v>53</v>
      </c>
      <c r="CK54" s="604"/>
      <c r="CL54" s="605" t="s">
        <v>54</v>
      </c>
      <c r="CM54" s="605"/>
      <c r="CN54" s="603" t="s">
        <v>55</v>
      </c>
      <c r="CO54" s="604"/>
      <c r="CP54" s="605" t="s">
        <v>628</v>
      </c>
      <c r="CQ54" s="605"/>
      <c r="CR54" s="603" t="s">
        <v>629</v>
      </c>
      <c r="CS54" s="604"/>
    </row>
    <row r="55" spans="1:97">
      <c r="D55" s="602"/>
      <c r="G55" t="s">
        <v>738</v>
      </c>
      <c r="H55" s="614">
        <f>H48/H$91</f>
        <v>10.62470043757418</v>
      </c>
      <c r="I55" s="615"/>
      <c r="J55" s="613">
        <f>J48/J$91</f>
        <v>10.62470043757418</v>
      </c>
      <c r="K55" s="613"/>
      <c r="L55" s="614">
        <f>L48/L$91</f>
        <v>3.1825736219675864</v>
      </c>
      <c r="M55" s="615"/>
      <c r="N55" s="613">
        <f>N48/N$91</f>
        <v>15.817217501714378</v>
      </c>
      <c r="O55" s="613"/>
      <c r="P55" s="614">
        <f>P48/P$91</f>
        <v>1.3025792106666745</v>
      </c>
      <c r="Q55" s="615"/>
      <c r="R55" s="613">
        <f>R48/R$91</f>
        <v>1.1936781980257036</v>
      </c>
      <c r="S55" s="613"/>
      <c r="T55" s="614">
        <f>T48/T$91</f>
        <v>3.1825736219675864</v>
      </c>
      <c r="U55" s="615"/>
      <c r="V55" s="613">
        <f>V48/V$91</f>
        <v>1.0045523431214443</v>
      </c>
      <c r="W55" s="613"/>
      <c r="X55" s="614">
        <f>X48/X$91</f>
        <v>1.4251728956283625</v>
      </c>
      <c r="Y55" s="615"/>
      <c r="Z55" s="613">
        <f>Z48/Z$91</f>
        <v>0.3269561529230241</v>
      </c>
      <c r="AA55" s="613"/>
      <c r="AB55" s="614">
        <f>AB48/AB$91</f>
        <v>1.0862516000914334E-2</v>
      </c>
      <c r="AC55" s="615"/>
      <c r="AD55" s="613">
        <f>AD48/AD$91</f>
        <v>0.21341370067985954</v>
      </c>
      <c r="AE55" s="613"/>
      <c r="AF55" s="614">
        <f>AF48/AF$91</f>
        <v>9.1941399087189415E-2</v>
      </c>
      <c r="AG55" s="615"/>
      <c r="AH55" s="613">
        <f>AH48/AH$91</f>
        <v>1.2950205508637755</v>
      </c>
      <c r="AI55" s="613"/>
      <c r="AJ55" s="614">
        <f>AJ48/AJ$91</f>
        <v>0.14339030367928277</v>
      </c>
      <c r="AK55" s="615"/>
      <c r="AL55" s="613">
        <f>AL48/AL$91</f>
        <v>0.11614164482868408</v>
      </c>
      <c r="AM55" s="613"/>
      <c r="AN55" s="614">
        <f>AN48/AN$91</f>
        <v>6.6638995561651135E-2</v>
      </c>
      <c r="AO55" s="615"/>
      <c r="AP55" s="613">
        <f>AP48/AP$91</f>
        <v>0.10312517880970681</v>
      </c>
      <c r="AQ55" s="613"/>
      <c r="AR55" s="614">
        <f>AR48/AR$91</f>
        <v>0.12502402286933401</v>
      </c>
      <c r="AS55" s="615"/>
      <c r="AT55" s="613">
        <f>AT48/AT$91</f>
        <v>0.13346099703356573</v>
      </c>
      <c r="AU55" s="613"/>
      <c r="AV55" s="614">
        <f>AV48/AV$91</f>
        <v>0.23911902053743725</v>
      </c>
      <c r="AW55" s="615"/>
      <c r="AX55" s="613">
        <f>AX48/AX$91</f>
        <v>0.23911902053743725</v>
      </c>
      <c r="AY55" s="613"/>
      <c r="AZ55" s="614">
        <f>AZ48/AZ$91</f>
        <v>0.23911902053743725</v>
      </c>
      <c r="BA55" s="615"/>
      <c r="BB55" s="613">
        <f>BB48/BB$91</f>
        <v>0.23911902053743725</v>
      </c>
      <c r="BC55" s="613"/>
      <c r="BD55" s="614">
        <f>BD48/BD$91</f>
        <v>0.1550362782120368</v>
      </c>
      <c r="BE55" s="615"/>
      <c r="BF55" s="613">
        <f>BF48/BF$91</f>
        <v>0.1619493878358983</v>
      </c>
      <c r="BG55" s="613"/>
      <c r="BH55" s="614">
        <f>BH48/BH$91</f>
        <v>1.8744760422400072E-2</v>
      </c>
      <c r="BI55" s="615"/>
      <c r="BJ55" s="613">
        <f>BJ48/BJ$91</f>
        <v>3.0542408175384742E-2</v>
      </c>
      <c r="BK55" s="613"/>
      <c r="BL55" s="614">
        <f>BL48/BL$91</f>
        <v>3.7042931655183027E-2</v>
      </c>
      <c r="BM55" s="615"/>
      <c r="BN55" s="613">
        <f>BN48/BN$91</f>
        <v>3.6336627705946124E-2</v>
      </c>
      <c r="BO55" s="613"/>
      <c r="BP55" s="614">
        <f>BP48/BP$91</f>
        <v>4.9506907200794308E-2</v>
      </c>
      <c r="BQ55" s="615"/>
      <c r="BR55" s="613">
        <f>BR48/BR$91</f>
        <v>1.8291000941198652E-2</v>
      </c>
      <c r="BS55" s="613"/>
      <c r="BT55" s="614">
        <f>BT48/BT$91</f>
        <v>3.4905609343296846E-2</v>
      </c>
      <c r="BU55" s="615"/>
      <c r="BV55" s="613">
        <f>BV48/BV$91</f>
        <v>1.3059159546411275E-2</v>
      </c>
      <c r="BW55" s="613"/>
      <c r="BX55" s="614">
        <f>BX48/BX$91</f>
        <v>1.2889136058461582E-2</v>
      </c>
      <c r="BY55" s="615"/>
      <c r="BZ55" s="613">
        <f>BZ48/BZ$91</f>
        <v>0.1453465108237845</v>
      </c>
      <c r="CA55" s="613"/>
      <c r="CB55" s="614">
        <f>CB48/CB$91</f>
        <v>5.443704465376102E-3</v>
      </c>
      <c r="CC55" s="615"/>
      <c r="CD55" s="613">
        <f>CD48/CD$91</f>
        <v>4.2055239731841948E-3</v>
      </c>
      <c r="CE55" s="613"/>
      <c r="CF55" s="614">
        <f>CF48/CF$91</f>
        <v>0.13127522401280073</v>
      </c>
      <c r="CG55" s="615"/>
      <c r="CH55" s="613">
        <f>CH48/CH$91</f>
        <v>0.12928142803818321</v>
      </c>
      <c r="CI55" s="613"/>
      <c r="CJ55" s="614">
        <f>CJ48/CJ$91</f>
        <v>0.15659566493008525</v>
      </c>
      <c r="CK55" s="615"/>
      <c r="CL55" s="613">
        <f>CL48/CL$91</f>
        <v>6.375010667276225E-2</v>
      </c>
      <c r="CM55" s="613"/>
      <c r="CN55" s="614">
        <f>CN48/CN$91</f>
        <v>6.3505330513721455E-3</v>
      </c>
      <c r="CO55" s="615"/>
      <c r="CP55" s="613">
        <f>CP48/CP$91</f>
        <v>1.9538688160000117</v>
      </c>
      <c r="CQ55" s="613"/>
      <c r="CR55" s="614">
        <f>CR48/CR$91</f>
        <v>5.4327061370238762E-4</v>
      </c>
      <c r="CS55" s="615"/>
    </row>
    <row r="56" spans="1:97">
      <c r="D56" s="602"/>
      <c r="G56" t="s">
        <v>739</v>
      </c>
      <c r="H56" s="614">
        <f>H49/H$91</f>
        <v>15.937050656361267</v>
      </c>
      <c r="I56" s="615"/>
      <c r="J56" s="613">
        <f>J49/J$91</f>
        <v>15.937050656361267</v>
      </c>
      <c r="K56" s="613"/>
      <c r="L56" s="614">
        <f>L49/L$91</f>
        <v>4.7738604329513796</v>
      </c>
      <c r="M56" s="615"/>
      <c r="N56" s="613">
        <f>N49/N$91</f>
        <v>23.725826252571569</v>
      </c>
      <c r="O56" s="613"/>
      <c r="P56" s="614">
        <f>P49/P$91</f>
        <v>1.9538688160000113</v>
      </c>
      <c r="Q56" s="615"/>
      <c r="R56" s="613">
        <f>R49/R$91</f>
        <v>1.7905172970385552</v>
      </c>
      <c r="S56" s="613"/>
      <c r="T56" s="614">
        <f>T49/T$91</f>
        <v>4.7738604329513796</v>
      </c>
      <c r="U56" s="615"/>
      <c r="V56" s="613">
        <f>V49/V$91</f>
        <v>1.5068285146821663</v>
      </c>
      <c r="W56" s="613"/>
      <c r="X56" s="614">
        <f>X49/X$91</f>
        <v>2.1377593434425437</v>
      </c>
      <c r="Y56" s="615"/>
      <c r="Z56" s="613">
        <f>Z49/Z$91</f>
        <v>0.49043422938453612</v>
      </c>
      <c r="AA56" s="613"/>
      <c r="AB56" s="614">
        <f>AB49/AB$91</f>
        <v>1.6293774001371501E-2</v>
      </c>
      <c r="AC56" s="615"/>
      <c r="AD56" s="613">
        <f>AD49/AD$91</f>
        <v>0.32012055101978931</v>
      </c>
      <c r="AE56" s="613"/>
      <c r="AF56" s="614">
        <f>AF49/AF$91</f>
        <v>0.13791209863078413</v>
      </c>
      <c r="AG56" s="615"/>
      <c r="AH56" s="613">
        <f>AH49/AH$91</f>
        <v>1.9425308262956633</v>
      </c>
      <c r="AI56" s="613"/>
      <c r="AJ56" s="614">
        <f>AJ49/AJ$91</f>
        <v>0.21508545551892413</v>
      </c>
      <c r="AK56" s="615"/>
      <c r="AL56" s="613">
        <f>AL49/AL$91</f>
        <v>0.17421246724302611</v>
      </c>
      <c r="AM56" s="613"/>
      <c r="AN56" s="614">
        <f>AN49/AN$91</f>
        <v>9.9958493342476695E-2</v>
      </c>
      <c r="AO56" s="615"/>
      <c r="AP56" s="613">
        <f>AP49/AP$91</f>
        <v>0.15468776821456023</v>
      </c>
      <c r="AQ56" s="613"/>
      <c r="AR56" s="614">
        <f>AR49/AR$91</f>
        <v>0.18753603430400101</v>
      </c>
      <c r="AS56" s="615"/>
      <c r="AT56" s="613">
        <f>AT49/AT$91</f>
        <v>0.20019149555034857</v>
      </c>
      <c r="AU56" s="613"/>
      <c r="AV56" s="614">
        <f>AV49/AV$91</f>
        <v>0.35867853080615592</v>
      </c>
      <c r="AW56" s="615"/>
      <c r="AX56" s="613">
        <f>AX49/AX$91</f>
        <v>0.35867853080615592</v>
      </c>
      <c r="AY56" s="613"/>
      <c r="AZ56" s="614">
        <f>AZ49/AZ$91</f>
        <v>0.35867853080615592</v>
      </c>
      <c r="BA56" s="615"/>
      <c r="BB56" s="613">
        <f>BB49/BB$91</f>
        <v>0.35867853080615592</v>
      </c>
      <c r="BC56" s="613"/>
      <c r="BD56" s="614">
        <f>BD49/BD$91</f>
        <v>0.23255441731805518</v>
      </c>
      <c r="BE56" s="615"/>
      <c r="BF56" s="613">
        <f>BF49/BF$91</f>
        <v>0.24292408175384742</v>
      </c>
      <c r="BG56" s="613"/>
      <c r="BH56" s="614">
        <f>BH49/BH$91</f>
        <v>2.8117140633600109E-2</v>
      </c>
      <c r="BI56" s="615"/>
      <c r="BJ56" s="613">
        <f>BJ49/BJ$91</f>
        <v>4.5813612263077112E-2</v>
      </c>
      <c r="BK56" s="613"/>
      <c r="BL56" s="614">
        <f>BL49/BL$91</f>
        <v>5.5564397482774544E-2</v>
      </c>
      <c r="BM56" s="615"/>
      <c r="BN56" s="613">
        <f>BN49/BN$91</f>
        <v>5.4504941558919183E-2</v>
      </c>
      <c r="BO56" s="613"/>
      <c r="BP56" s="614">
        <f>BP49/BP$91</f>
        <v>7.4260360801191458E-2</v>
      </c>
      <c r="BQ56" s="615"/>
      <c r="BR56" s="613">
        <f>BR49/BR$91</f>
        <v>2.7436501411797976E-2</v>
      </c>
      <c r="BS56" s="613"/>
      <c r="BT56" s="614">
        <f>BT49/BT$91</f>
        <v>5.2358414014945273E-2</v>
      </c>
      <c r="BU56" s="615"/>
      <c r="BV56" s="613">
        <f>BV49/BV$91</f>
        <v>1.9588739319616907E-2</v>
      </c>
      <c r="BW56" s="613"/>
      <c r="BX56" s="614">
        <f>BX49/BX$91</f>
        <v>1.9333704087692371E-2</v>
      </c>
      <c r="BY56" s="615"/>
      <c r="BZ56" s="613">
        <f>BZ49/BZ$91</f>
        <v>0.21801976623567673</v>
      </c>
      <c r="CA56" s="613"/>
      <c r="CB56" s="614">
        <f>CB49/CB$91</f>
        <v>8.1655566980641525E-3</v>
      </c>
      <c r="CC56" s="615"/>
      <c r="CD56" s="613">
        <f>CD49/CD$91</f>
        <v>6.3082859597762934E-3</v>
      </c>
      <c r="CE56" s="613"/>
      <c r="CF56" s="614">
        <f>CF49/CF$91</f>
        <v>0.19691283601920107</v>
      </c>
      <c r="CG56" s="615"/>
      <c r="CH56" s="613">
        <f>CH49/CH$91</f>
        <v>0.19392214205727479</v>
      </c>
      <c r="CI56" s="613"/>
      <c r="CJ56" s="614">
        <f>CJ49/CJ$91</f>
        <v>0.23489349739512783</v>
      </c>
      <c r="CK56" s="615"/>
      <c r="CL56" s="613">
        <f>CL49/CL$91</f>
        <v>9.5625160009143353E-2</v>
      </c>
      <c r="CM56" s="613"/>
      <c r="CN56" s="614">
        <f>CN49/CN$91</f>
        <v>9.5257995770582186E-3</v>
      </c>
      <c r="CO56" s="615"/>
      <c r="CP56" s="613">
        <f>CP49/CP$91</f>
        <v>2.9308032240000168</v>
      </c>
      <c r="CQ56" s="613"/>
      <c r="CR56" s="614">
        <f>CR49/CR$91</f>
        <v>8.1490592055358149E-4</v>
      </c>
      <c r="CS56" s="615"/>
    </row>
    <row r="57" spans="1:97">
      <c r="D57" s="602"/>
      <c r="G57" t="s">
        <v>740</v>
      </c>
      <c r="H57" s="614">
        <f>H50/H$91</f>
        <v>17.265138211058044</v>
      </c>
      <c r="I57" s="615"/>
      <c r="J57" s="613">
        <f>J50/J$91</f>
        <v>17.265138211058044</v>
      </c>
      <c r="K57" s="613"/>
      <c r="L57" s="614">
        <f>L50/L$91</f>
        <v>5.1716821356973277</v>
      </c>
      <c r="M57" s="615"/>
      <c r="N57" s="613">
        <f>N50/N$91</f>
        <v>25.702978440285865</v>
      </c>
      <c r="O57" s="613"/>
      <c r="P57" s="614">
        <f>P50/P$91</f>
        <v>2.1166912173333459</v>
      </c>
      <c r="Q57" s="615"/>
      <c r="R57" s="613">
        <f>R50/R$91</f>
        <v>1.9397270717917685</v>
      </c>
      <c r="S57" s="613"/>
      <c r="T57" s="614">
        <f>T50/T$91</f>
        <v>5.1716821356973277</v>
      </c>
      <c r="U57" s="615"/>
      <c r="V57" s="613">
        <f>V50/V$91</f>
        <v>1.6323975575723468</v>
      </c>
      <c r="W57" s="613"/>
      <c r="X57" s="614">
        <f>X50/X$91</f>
        <v>2.3159059553960892</v>
      </c>
      <c r="Y57" s="615"/>
      <c r="Z57" s="613">
        <f>Z50/Z$91</f>
        <v>0.53130374849991413</v>
      </c>
      <c r="AA57" s="613"/>
      <c r="AB57" s="614">
        <f>AB50/AB$91</f>
        <v>1.7651588501485793E-2</v>
      </c>
      <c r="AC57" s="615"/>
      <c r="AD57" s="613">
        <f>AD50/AD$91</f>
        <v>0.34679726360477175</v>
      </c>
      <c r="AE57" s="613"/>
      <c r="AF57" s="614">
        <f>AF50/AF$91</f>
        <v>0.14940477351668283</v>
      </c>
      <c r="AG57" s="615"/>
      <c r="AH57" s="613">
        <f>AH50/AH$91</f>
        <v>2.1044083951536354</v>
      </c>
      <c r="AI57" s="613"/>
      <c r="AJ57" s="614">
        <f>AJ50/AJ$91</f>
        <v>0.23300924347883448</v>
      </c>
      <c r="AK57" s="615"/>
      <c r="AL57" s="613">
        <f>AL50/AL$91</f>
        <v>0.18873017284661162</v>
      </c>
      <c r="AM57" s="613"/>
      <c r="AN57" s="614">
        <f>AN50/AN$91</f>
        <v>0.10828836778768307</v>
      </c>
      <c r="AO57" s="615"/>
      <c r="AP57" s="613">
        <f>AP50/AP$91</f>
        <v>0.16757841556577358</v>
      </c>
      <c r="AQ57" s="613"/>
      <c r="AR57" s="614">
        <f>AR50/AR$91</f>
        <v>0.20316403716266779</v>
      </c>
      <c r="AS57" s="615"/>
      <c r="AT57" s="613">
        <f>AT50/AT$91</f>
        <v>0.21687412017954433</v>
      </c>
      <c r="AU57" s="613"/>
      <c r="AV57" s="614">
        <f>AV50/AV$91</f>
        <v>0.38856840837333556</v>
      </c>
      <c r="AW57" s="615"/>
      <c r="AX57" s="613">
        <f>AX50/AX$91</f>
        <v>0.38856840837333556</v>
      </c>
      <c r="AY57" s="613"/>
      <c r="AZ57" s="614">
        <f>AZ50/AZ$91</f>
        <v>0.38856840837333556</v>
      </c>
      <c r="BA57" s="615"/>
      <c r="BB57" s="613">
        <f>BB50/BB$91</f>
        <v>0.38856840837333556</v>
      </c>
      <c r="BC57" s="613"/>
      <c r="BD57" s="614">
        <f>BD50/BD$91</f>
        <v>0.25193395209455982</v>
      </c>
      <c r="BE57" s="615"/>
      <c r="BF57" s="613">
        <f>BF50/BF$91</f>
        <v>0.26316775523333474</v>
      </c>
      <c r="BG57" s="613"/>
      <c r="BH57" s="614">
        <f>BH50/BH$91</f>
        <v>3.0460235686400119E-2</v>
      </c>
      <c r="BI57" s="615"/>
      <c r="BJ57" s="613">
        <f>BJ50/BJ$91</f>
        <v>4.963141328500021E-2</v>
      </c>
      <c r="BK57" s="613"/>
      <c r="BL57" s="614">
        <f>BL50/BL$91</f>
        <v>6.0194763939672422E-2</v>
      </c>
      <c r="BM57" s="615"/>
      <c r="BN57" s="613">
        <f>BN50/BN$91</f>
        <v>5.9047020022162451E-2</v>
      </c>
      <c r="BO57" s="613"/>
      <c r="BP57" s="614">
        <f>BP50/BP$91</f>
        <v>8.0448724201290747E-2</v>
      </c>
      <c r="BQ57" s="615"/>
      <c r="BR57" s="613">
        <f>BR50/BR$91</f>
        <v>2.9722876529447811E-2</v>
      </c>
      <c r="BS57" s="613"/>
      <c r="BT57" s="614">
        <f>BT50/BT$91</f>
        <v>5.6721615182857385E-2</v>
      </c>
      <c r="BU57" s="615"/>
      <c r="BV57" s="613">
        <f>BV50/BV$91</f>
        <v>2.1221134262918322E-2</v>
      </c>
      <c r="BW57" s="613"/>
      <c r="BX57" s="614">
        <f>BX50/BX$91</f>
        <v>2.094484609500007E-2</v>
      </c>
      <c r="BY57" s="615"/>
      <c r="BZ57" s="613">
        <f>BZ50/BZ$91</f>
        <v>0.2361880800886498</v>
      </c>
      <c r="CA57" s="613"/>
      <c r="CB57" s="614">
        <f>CB50/CB$91</f>
        <v>8.8460197562361658E-3</v>
      </c>
      <c r="CC57" s="615"/>
      <c r="CD57" s="613">
        <f>CD50/CD$91</f>
        <v>6.833976456424317E-3</v>
      </c>
      <c r="CE57" s="613"/>
      <c r="CF57" s="614">
        <f>CF50/CF$91</f>
        <v>0.21332223902080116</v>
      </c>
      <c r="CG57" s="615"/>
      <c r="CH57" s="613">
        <f>CH50/CH$91</f>
        <v>0.2100823205620477</v>
      </c>
      <c r="CI57" s="613"/>
      <c r="CJ57" s="614">
        <f>CJ50/CJ$91</f>
        <v>0.25446795551138851</v>
      </c>
      <c r="CK57" s="615"/>
      <c r="CL57" s="613">
        <f>CL50/CL$91</f>
        <v>0.10359392334323864</v>
      </c>
      <c r="CM57" s="613"/>
      <c r="CN57" s="614">
        <f>CN50/CN$91</f>
        <v>1.0319616208479737E-2</v>
      </c>
      <c r="CO57" s="615"/>
      <c r="CP57" s="613">
        <f>CP50/CP$91</f>
        <v>3.1750368260000186</v>
      </c>
      <c r="CQ57" s="613"/>
      <c r="CR57" s="614">
        <f>CR50/CR$91</f>
        <v>8.8281474726637995E-4</v>
      </c>
      <c r="CS57" s="615"/>
    </row>
    <row r="58" spans="1:97">
      <c r="D58" s="602"/>
      <c r="G58" t="s">
        <v>741</v>
      </c>
      <c r="H58" s="611">
        <f>H51/H$91</f>
        <v>22.577488429845129</v>
      </c>
      <c r="I58" s="612"/>
      <c r="J58" s="610">
        <f>J51/J$91</f>
        <v>22.577488429845129</v>
      </c>
      <c r="K58" s="610"/>
      <c r="L58" s="611">
        <f>L51/L$91</f>
        <v>6.7629689466811218</v>
      </c>
      <c r="M58" s="612"/>
      <c r="N58" s="610">
        <f>N51/N$91</f>
        <v>33.611587191143052</v>
      </c>
      <c r="O58" s="610"/>
      <c r="P58" s="611">
        <f>P51/P$91</f>
        <v>2.7679808226666824</v>
      </c>
      <c r="Q58" s="612"/>
      <c r="R58" s="610">
        <f>R51/R$91</f>
        <v>2.5365661708046199</v>
      </c>
      <c r="S58" s="610"/>
      <c r="T58" s="611">
        <f>T51/T$91</f>
        <v>6.7629689466811218</v>
      </c>
      <c r="U58" s="612"/>
      <c r="V58" s="610">
        <f>V51/V$91</f>
        <v>2.1346737291330689</v>
      </c>
      <c r="W58" s="610"/>
      <c r="X58" s="611">
        <f>X51/X$91</f>
        <v>3.0284924032102705</v>
      </c>
      <c r="Y58" s="612"/>
      <c r="Z58" s="610">
        <f>Z51/Z$91</f>
        <v>0.69478182496142615</v>
      </c>
      <c r="AA58" s="610"/>
      <c r="AB58" s="611">
        <f>AB51/AB$91</f>
        <v>2.308284650194296E-2</v>
      </c>
      <c r="AC58" s="612"/>
      <c r="AD58" s="610">
        <f>AD51/AD$91</f>
        <v>0.45350411394470153</v>
      </c>
      <c r="AE58" s="610"/>
      <c r="AF58" s="611">
        <f>AF51/AF$91</f>
        <v>0.19537547306027753</v>
      </c>
      <c r="AG58" s="612"/>
      <c r="AH58" s="610">
        <f>AH51/AH$91</f>
        <v>2.751918670585523</v>
      </c>
      <c r="AI58" s="610"/>
      <c r="AJ58" s="611">
        <f>AJ51/AJ$91</f>
        <v>0.30470439531847587</v>
      </c>
      <c r="AK58" s="612"/>
      <c r="AL58" s="610">
        <f>AL51/AL$91</f>
        <v>0.24680099526095362</v>
      </c>
      <c r="AM58" s="610"/>
      <c r="AN58" s="611">
        <f>AN51/AN$91</f>
        <v>0.14160786556850863</v>
      </c>
      <c r="AO58" s="612"/>
      <c r="AP58" s="610">
        <f>AP51/AP$91</f>
        <v>0.21914100497062697</v>
      </c>
      <c r="AQ58" s="610"/>
      <c r="AR58" s="611">
        <f>AR51/AR$91</f>
        <v>0.26567604859733479</v>
      </c>
      <c r="AS58" s="612"/>
      <c r="AT58" s="610">
        <f>AT51/AT$91</f>
        <v>0.28360461869632714</v>
      </c>
      <c r="AU58" s="610"/>
      <c r="AV58" s="611">
        <f>AV51/AV$91</f>
        <v>0.50812791864205409</v>
      </c>
      <c r="AW58" s="612"/>
      <c r="AX58" s="610">
        <f>AX51/AX$91</f>
        <v>0.50812791864205409</v>
      </c>
      <c r="AY58" s="610"/>
      <c r="AZ58" s="611">
        <f>AZ51/AZ$91</f>
        <v>0.50812791864205409</v>
      </c>
      <c r="BA58" s="612"/>
      <c r="BB58" s="610">
        <f>BB51/BB$91</f>
        <v>0.50812791864205409</v>
      </c>
      <c r="BC58" s="610"/>
      <c r="BD58" s="611">
        <f>BD51/BD$91</f>
        <v>0.32945209120057811</v>
      </c>
      <c r="BE58" s="612"/>
      <c r="BF58" s="610">
        <f>BF51/BF$91</f>
        <v>0.34414244915128389</v>
      </c>
      <c r="BG58" s="610"/>
      <c r="BH58" s="611">
        <f>BH51/BH$91</f>
        <v>3.9832615897600156E-2</v>
      </c>
      <c r="BI58" s="612"/>
      <c r="BJ58" s="610">
        <f>BJ51/BJ$91</f>
        <v>6.4902617372692581E-2</v>
      </c>
      <c r="BK58" s="610"/>
      <c r="BL58" s="611">
        <f>BL51/BL$91</f>
        <v>7.8716229767263932E-2</v>
      </c>
      <c r="BM58" s="612"/>
      <c r="BN58" s="610">
        <f>BN51/BN$91</f>
        <v>7.7215333875135503E-2</v>
      </c>
      <c r="BO58" s="610"/>
      <c r="BP58" s="611">
        <f>BP51/BP$91</f>
        <v>0.1052021778016879</v>
      </c>
      <c r="BQ58" s="612"/>
      <c r="BR58" s="610">
        <f>BR51/BR$91</f>
        <v>3.8868377000047132E-2</v>
      </c>
      <c r="BS58" s="610"/>
      <c r="BT58" s="611">
        <f>BT51/BT$91</f>
        <v>7.4174419854505805E-2</v>
      </c>
      <c r="BU58" s="612"/>
      <c r="BV58" s="610">
        <f>BV51/BV$91</f>
        <v>2.7750714036123954E-2</v>
      </c>
      <c r="BW58" s="610"/>
      <c r="BX58" s="611">
        <f>BX51/BX$91</f>
        <v>2.7389414124230859E-2</v>
      </c>
      <c r="BY58" s="612"/>
      <c r="BZ58" s="610">
        <f>BZ51/BZ$91</f>
        <v>0.30886133550054201</v>
      </c>
      <c r="CA58" s="610"/>
      <c r="CB58" s="611">
        <f>CB51/CB$91</f>
        <v>1.1567871988924215E-2</v>
      </c>
      <c r="CC58" s="612"/>
      <c r="CD58" s="610">
        <f>CD51/CD$91</f>
        <v>8.9367384430164148E-3</v>
      </c>
      <c r="CE58" s="610"/>
      <c r="CF58" s="611">
        <f>CF51/CF$91</f>
        <v>0.2789598510272015</v>
      </c>
      <c r="CG58" s="612"/>
      <c r="CH58" s="610">
        <f>CH51/CH$91</f>
        <v>0.27472303458113928</v>
      </c>
      <c r="CI58" s="610"/>
      <c r="CJ58" s="611">
        <f>CJ51/CJ$91</f>
        <v>0.33276578797643114</v>
      </c>
      <c r="CK58" s="612"/>
      <c r="CL58" s="610">
        <f>CL51/CL$91</f>
        <v>0.13546897667961974</v>
      </c>
      <c r="CM58" s="610"/>
      <c r="CN58" s="611">
        <f>CN51/CN$91</f>
        <v>1.3494882734165809E-2</v>
      </c>
      <c r="CO58" s="612"/>
      <c r="CP58" s="610">
        <f>CP51/CP$91</f>
        <v>4.1519712340000243</v>
      </c>
      <c r="CQ58" s="610"/>
      <c r="CR58" s="611">
        <f>CR51/CR$91</f>
        <v>1.1544500541175737E-3</v>
      </c>
      <c r="CS58" s="612"/>
    </row>
    <row r="61" spans="1:97" s="110" customFormat="1">
      <c r="H61" s="364"/>
      <c r="I61" s="364"/>
      <c r="J61" s="364"/>
      <c r="K61" s="364"/>
      <c r="L61" s="364"/>
      <c r="M61" s="364"/>
      <c r="N61" s="364"/>
      <c r="O61" s="364"/>
      <c r="P61" s="364"/>
      <c r="Q61" s="364"/>
      <c r="R61" s="364"/>
      <c r="S61" s="364"/>
      <c r="T61" s="364"/>
      <c r="U61" s="364"/>
      <c r="V61" s="364"/>
      <c r="W61" s="364"/>
      <c r="X61" s="364"/>
      <c r="Y61" s="364"/>
      <c r="Z61" s="364"/>
      <c r="AA61" s="364"/>
      <c r="AB61" s="364"/>
      <c r="AC61" s="364"/>
      <c r="AD61" s="364"/>
      <c r="AE61" s="364"/>
      <c r="AF61" s="364"/>
      <c r="AG61" s="364"/>
      <c r="AH61" s="364"/>
      <c r="AI61" s="364"/>
      <c r="AJ61" s="364"/>
      <c r="AK61" s="364"/>
      <c r="AL61" s="364"/>
      <c r="AM61" s="364"/>
      <c r="AN61" s="364"/>
      <c r="AO61" s="364"/>
      <c r="AP61" s="364"/>
      <c r="AQ61" s="364"/>
      <c r="AR61" s="364"/>
      <c r="AS61" s="364"/>
      <c r="AT61" s="364"/>
      <c r="AU61" s="364"/>
      <c r="AV61" s="364"/>
      <c r="AW61" s="364"/>
      <c r="AX61" s="364"/>
      <c r="AY61" s="364"/>
      <c r="AZ61" s="364"/>
      <c r="BA61" s="364"/>
      <c r="BB61" s="364"/>
      <c r="BC61" s="364"/>
      <c r="BD61" s="364"/>
      <c r="BE61" s="364"/>
      <c r="BF61" s="364"/>
      <c r="BG61" s="364"/>
      <c r="BH61" s="364"/>
      <c r="BI61" s="364"/>
      <c r="BJ61" s="364"/>
      <c r="BK61" s="364"/>
      <c r="BL61" s="364"/>
      <c r="BM61" s="364"/>
      <c r="BN61" s="364"/>
      <c r="BO61" s="364"/>
      <c r="BP61" s="364"/>
      <c r="BQ61" s="364"/>
      <c r="BR61" s="364"/>
      <c r="BS61" s="364"/>
      <c r="BT61" s="364"/>
      <c r="BU61" s="364"/>
      <c r="BV61" s="364"/>
      <c r="BW61" s="364"/>
      <c r="BX61" s="364"/>
      <c r="BY61" s="364"/>
      <c r="BZ61" s="364"/>
      <c r="CA61" s="364"/>
      <c r="CB61" s="364"/>
      <c r="CC61" s="364"/>
      <c r="CD61" s="364"/>
      <c r="CE61" s="364"/>
      <c r="CF61" s="364"/>
      <c r="CG61" s="364"/>
      <c r="CH61" s="364"/>
      <c r="CI61" s="364"/>
      <c r="CJ61" s="364"/>
      <c r="CK61" s="364"/>
      <c r="CL61" s="364"/>
      <c r="CM61" s="364"/>
      <c r="CN61" s="364"/>
      <c r="CO61" s="364"/>
      <c r="CP61" s="364"/>
      <c r="CQ61" s="364"/>
      <c r="CR61" s="364"/>
      <c r="CS61" s="364"/>
    </row>
    <row r="62" spans="1:97" ht="21">
      <c r="A62" s="141" t="s">
        <v>759</v>
      </c>
    </row>
    <row r="63" spans="1:97" ht="15.75" customHeight="1" thickBot="1">
      <c r="B63" s="327"/>
      <c r="C63" s="327"/>
    </row>
    <row r="64" spans="1:97" ht="16.5" customHeight="1" thickBot="1">
      <c r="A64" t="s">
        <v>521</v>
      </c>
      <c r="D64" s="329">
        <v>13</v>
      </c>
      <c r="G64" s="341"/>
    </row>
    <row r="65" spans="1:97" ht="15" customHeight="1">
      <c r="A65" s="632" t="s">
        <v>753</v>
      </c>
      <c r="D65" s="607">
        <v>0</v>
      </c>
    </row>
    <row r="66" spans="1:97">
      <c r="A66" s="632"/>
      <c r="D66" s="608"/>
    </row>
    <row r="67" spans="1:97" ht="15.75" thickBot="1">
      <c r="A67" s="632"/>
      <c r="D67" s="609"/>
    </row>
    <row r="68" spans="1:97" ht="15.75" hidden="1" customHeight="1"/>
    <row r="69" spans="1:97" hidden="1">
      <c r="B69" s="626" t="s">
        <v>742</v>
      </c>
      <c r="C69" s="626"/>
      <c r="D69" s="583" t="s">
        <v>745</v>
      </c>
      <c r="E69" s="583"/>
      <c r="F69" s="583"/>
      <c r="H69" s="96" t="s">
        <v>758</v>
      </c>
      <c r="I69" s="96"/>
    </row>
    <row r="70" spans="1:97" hidden="1">
      <c r="A70" s="29"/>
      <c r="B70" s="326" t="s">
        <v>743</v>
      </c>
      <c r="C70" s="326" t="s">
        <v>744</v>
      </c>
      <c r="D70" s="342" t="s">
        <v>743</v>
      </c>
      <c r="E70" s="343" t="s">
        <v>746</v>
      </c>
      <c r="F70" s="346" t="s">
        <v>744</v>
      </c>
      <c r="G70" s="75"/>
      <c r="H70" s="621" t="s">
        <v>33</v>
      </c>
      <c r="I70" s="622"/>
      <c r="J70" s="623" t="s">
        <v>37</v>
      </c>
      <c r="K70" s="622"/>
      <c r="L70" s="623" t="s">
        <v>35</v>
      </c>
      <c r="M70" s="622"/>
      <c r="N70" s="623" t="s">
        <v>36</v>
      </c>
      <c r="O70" s="622"/>
      <c r="P70" s="623" t="s">
        <v>405</v>
      </c>
      <c r="Q70" s="622"/>
      <c r="R70" s="623" t="s">
        <v>38</v>
      </c>
      <c r="S70" s="622"/>
      <c r="T70" s="623" t="s">
        <v>572</v>
      </c>
      <c r="U70" s="622"/>
      <c r="V70" s="623" t="s">
        <v>406</v>
      </c>
      <c r="W70" s="622"/>
      <c r="X70" s="623" t="s">
        <v>749</v>
      </c>
      <c r="Y70" s="622"/>
      <c r="Z70" s="623" t="s">
        <v>39</v>
      </c>
      <c r="AA70" s="622"/>
      <c r="AB70" s="623" t="s">
        <v>750</v>
      </c>
      <c r="AC70" s="622"/>
      <c r="AD70" s="623" t="s">
        <v>751</v>
      </c>
      <c r="AE70" s="622"/>
      <c r="AF70" s="623" t="s">
        <v>40</v>
      </c>
      <c r="AG70" s="622"/>
      <c r="AH70" s="623" t="s">
        <v>567</v>
      </c>
      <c r="AI70" s="622"/>
      <c r="AJ70" s="623" t="s">
        <v>41</v>
      </c>
      <c r="AK70" s="622"/>
      <c r="AL70" s="623" t="s">
        <v>42</v>
      </c>
      <c r="AM70" s="622"/>
      <c r="AN70" s="623" t="s">
        <v>590</v>
      </c>
      <c r="AO70" s="622"/>
      <c r="AP70" s="623" t="s">
        <v>43</v>
      </c>
      <c r="AQ70" s="622"/>
      <c r="AR70" s="623" t="s">
        <v>566</v>
      </c>
      <c r="AS70" s="622"/>
      <c r="AT70" s="623" t="s">
        <v>44</v>
      </c>
      <c r="AU70" s="622"/>
      <c r="AV70" s="623" t="s">
        <v>754</v>
      </c>
      <c r="AW70" s="622"/>
      <c r="AX70" s="623" t="s">
        <v>755</v>
      </c>
      <c r="AY70" s="622"/>
      <c r="AZ70" s="623" t="s">
        <v>756</v>
      </c>
      <c r="BA70" s="622"/>
      <c r="BB70" s="623" t="s">
        <v>757</v>
      </c>
      <c r="BC70" s="622"/>
      <c r="BD70" s="623" t="s">
        <v>45</v>
      </c>
      <c r="BE70" s="622"/>
      <c r="BF70" s="623" t="s">
        <v>752</v>
      </c>
      <c r="BG70" s="622"/>
      <c r="BH70" s="623" t="s">
        <v>46</v>
      </c>
      <c r="BI70" s="622"/>
      <c r="BJ70" s="623" t="s">
        <v>47</v>
      </c>
      <c r="BK70" s="622"/>
      <c r="BL70" s="623" t="s">
        <v>48</v>
      </c>
      <c r="BM70" s="622"/>
      <c r="BN70" s="623" t="s">
        <v>570</v>
      </c>
      <c r="BO70" s="622"/>
      <c r="BP70" s="623" t="s">
        <v>595</v>
      </c>
      <c r="BQ70" s="622"/>
      <c r="BR70" s="623" t="s">
        <v>51</v>
      </c>
      <c r="BS70" s="622"/>
      <c r="BT70" s="621" t="s">
        <v>568</v>
      </c>
      <c r="BU70" s="622"/>
      <c r="BV70" s="623" t="s">
        <v>49</v>
      </c>
      <c r="BW70" s="622"/>
      <c r="BX70" s="623" t="s">
        <v>565</v>
      </c>
      <c r="BY70" s="622"/>
      <c r="BZ70" s="621" t="s">
        <v>57</v>
      </c>
      <c r="CA70" s="622"/>
      <c r="CB70" s="623" t="s">
        <v>50</v>
      </c>
      <c r="CC70" s="622"/>
      <c r="CD70" s="623" t="s">
        <v>618</v>
      </c>
      <c r="CE70" s="622"/>
      <c r="CF70" s="623" t="s">
        <v>619</v>
      </c>
      <c r="CG70" s="622"/>
      <c r="CH70" s="621" t="s">
        <v>52</v>
      </c>
      <c r="CI70" s="622"/>
      <c r="CJ70" s="623" t="s">
        <v>53</v>
      </c>
      <c r="CK70" s="622"/>
      <c r="CL70" s="623" t="s">
        <v>54</v>
      </c>
      <c r="CM70" s="622"/>
      <c r="CN70" s="621" t="s">
        <v>55</v>
      </c>
      <c r="CO70" s="622"/>
      <c r="CP70" s="623" t="s">
        <v>628</v>
      </c>
      <c r="CQ70" s="622"/>
      <c r="CR70" s="623" t="s">
        <v>629</v>
      </c>
      <c r="CS70" s="622"/>
    </row>
    <row r="71" spans="1:97" hidden="1">
      <c r="A71" s="107" t="s">
        <v>121</v>
      </c>
      <c r="B71" s="239">
        <v>5</v>
      </c>
      <c r="C71" s="239">
        <v>10</v>
      </c>
      <c r="D71" s="344">
        <f t="shared" ref="D71:D88" si="3">ROUNDDOWN(B71*(1+$D$64*0.1),0)</f>
        <v>11</v>
      </c>
      <c r="E71" s="345">
        <f>AVERAGE(D71,F71)</f>
        <v>17</v>
      </c>
      <c r="F71" s="347">
        <f t="shared" ref="F71:F88" si="4">C71*(1+$D$64*0.1)</f>
        <v>23</v>
      </c>
      <c r="G71" s="72"/>
      <c r="H71" s="350">
        <f t="shared" ref="H71:H88" si="5">$D71</f>
        <v>11</v>
      </c>
      <c r="I71" s="349">
        <f>$F71</f>
        <v>23</v>
      </c>
      <c r="J71" s="348">
        <f t="shared" ref="J71:J88" si="6">$D71</f>
        <v>11</v>
      </c>
      <c r="K71" s="349">
        <f>$F71</f>
        <v>23</v>
      </c>
      <c r="L71" s="348">
        <f t="shared" ref="L71:L88" si="7">IF($D$65=1,$D71*2,$D71)</f>
        <v>11</v>
      </c>
      <c r="M71" s="349">
        <f>IF($D$65=1,$F71*2,$F71)</f>
        <v>23</v>
      </c>
      <c r="N71" s="348">
        <f t="shared" ref="N71:N88" si="8">$D71</f>
        <v>11</v>
      </c>
      <c r="O71" s="349">
        <f>$F71</f>
        <v>23</v>
      </c>
      <c r="P71" s="348">
        <f t="shared" ref="P71:P88" si="9">IF($D$65=1,$D71*2,$D71)</f>
        <v>11</v>
      </c>
      <c r="Q71" s="349">
        <f>IF($D$65=1,$F71*2,$F71)</f>
        <v>23</v>
      </c>
      <c r="R71" s="348">
        <f t="shared" ref="R71:R88" si="10">$D71</f>
        <v>11</v>
      </c>
      <c r="S71" s="349">
        <f>$F71</f>
        <v>23</v>
      </c>
      <c r="T71" s="348">
        <f t="shared" ref="T71:T88" si="11">$D71</f>
        <v>11</v>
      </c>
      <c r="U71" s="349">
        <f>$F71</f>
        <v>23</v>
      </c>
      <c r="V71" s="348">
        <f>IF($D$65=2,$D71*2,$D71)</f>
        <v>11</v>
      </c>
      <c r="W71" s="349">
        <f>IF($D$65=2,$F71*2,$F71)</f>
        <v>23</v>
      </c>
      <c r="X71" s="348">
        <f>IF($D$65=1,$D71*2,$D71)</f>
        <v>11</v>
      </c>
      <c r="Y71" s="349">
        <f>IF($D$65=1,$F71*2,$F71)</f>
        <v>23</v>
      </c>
      <c r="Z71" s="348">
        <f>IF($D$65=1,$D71*2,$D71*0.5)</f>
        <v>5.5</v>
      </c>
      <c r="AA71" s="349">
        <f t="shared" ref="AA71:AA88" si="12">IF($D$65=1,$F71*2,$F71*0.5)</f>
        <v>11.5</v>
      </c>
      <c r="AB71" s="348">
        <f>$D71/2/4</f>
        <v>1.375</v>
      </c>
      <c r="AC71" s="349">
        <f>$F71/2/4</f>
        <v>2.875</v>
      </c>
      <c r="AD71" s="348">
        <f>$D71</f>
        <v>11</v>
      </c>
      <c r="AE71" s="349">
        <f>$F71</f>
        <v>23</v>
      </c>
      <c r="AF71" s="348">
        <f>IF($D$65=1,$D71*2,$D71)</f>
        <v>11</v>
      </c>
      <c r="AG71" s="349">
        <f>IF($D$65=1,$F71*2,$F71)</f>
        <v>23</v>
      </c>
      <c r="AH71" s="348">
        <f>IF($D$65=1,$D71*2/4,$D71/4)</f>
        <v>2.75</v>
      </c>
      <c r="AI71" s="349">
        <f>IF($D$65=1,$F71*2/4,$F71/4)</f>
        <v>5.75</v>
      </c>
      <c r="AJ71" s="348">
        <f>IF($D$65=3,$D71*2,$D71)</f>
        <v>11</v>
      </c>
      <c r="AK71" s="349">
        <f>IF($D$65=3,$F71*2,$F71)</f>
        <v>23</v>
      </c>
      <c r="AL71" s="348">
        <f>IF($D$65=1,$D71*2,$D71)</f>
        <v>11</v>
      </c>
      <c r="AM71" s="349">
        <f>IF($D$65=1,$F71*2,$F71)</f>
        <v>23</v>
      </c>
      <c r="AN71" s="348">
        <f>$D71/4</f>
        <v>2.75</v>
      </c>
      <c r="AO71" s="349">
        <f>$F71/4</f>
        <v>5.75</v>
      </c>
      <c r="AP71" s="348">
        <f>IF($D$65=3,$D71*2*3,$D71*3)</f>
        <v>33</v>
      </c>
      <c r="AQ71" s="349">
        <f>IF($D$65=3,$F71*2*3,$F71*3)</f>
        <v>69</v>
      </c>
      <c r="AR71" s="348">
        <f>IF($D$65=3,$D71*2/4,$D71/4)</f>
        <v>2.75</v>
      </c>
      <c r="AS71" s="349">
        <f>IF($D$65=3,$F71*2/4,$F71/4)</f>
        <v>5.75</v>
      </c>
      <c r="AT71" s="348">
        <f>IF($D$65=4,$D71*2,$D71)</f>
        <v>11</v>
      </c>
      <c r="AU71" s="349">
        <f>IF($D$65=4,$F71*2,$F71)</f>
        <v>23</v>
      </c>
      <c r="AV71" s="348">
        <f>IF($D$65=4,$D71*2,$D71/2)</f>
        <v>5.5</v>
      </c>
      <c r="AW71" s="349">
        <f>IF($D$65=4,$F71*2,$F71/2)</f>
        <v>11.5</v>
      </c>
      <c r="AX71" s="348">
        <f>IF($D$65=4,$D71*2/4,$D71/4/2)</f>
        <v>1.375</v>
      </c>
      <c r="AY71" s="349">
        <f>IF($D$65=4,$F71*2/4,$F71/4/2)</f>
        <v>2.875</v>
      </c>
      <c r="AZ71" s="348">
        <f>IF($D$65=4,$D71*2/4,$D71/4/2)</f>
        <v>1.375</v>
      </c>
      <c r="BA71" s="349">
        <f>IF($D$65=4,$F71*2/4,$F71/4/2)</f>
        <v>2.875</v>
      </c>
      <c r="BB71" s="348">
        <f>IF($D$65=4,$D71*2*3,$D71*3/2)</f>
        <v>16.5</v>
      </c>
      <c r="BC71" s="349">
        <f>IF($D$65=4,$F71*2*3,$F71*3/2)</f>
        <v>34.5</v>
      </c>
      <c r="BD71" s="348">
        <f>IF($D$65=2,$D71*2,$D71)</f>
        <v>11</v>
      </c>
      <c r="BE71" s="349">
        <f>IF($D$65=2,$F71*2,$F71)</f>
        <v>23</v>
      </c>
      <c r="BF71" s="348">
        <f>IF($D$65=3,$D71*2/4,$D71/4)</f>
        <v>2.75</v>
      </c>
      <c r="BG71" s="349">
        <f>IF($D$65=3,$F71*2/4,$F71/4)</f>
        <v>5.75</v>
      </c>
      <c r="BH71" s="348">
        <f>$D71/4</f>
        <v>2.75</v>
      </c>
      <c r="BI71" s="349">
        <f>$F71/4</f>
        <v>5.75</v>
      </c>
      <c r="BJ71" s="348">
        <f>$D71/4</f>
        <v>2.75</v>
      </c>
      <c r="BK71" s="349">
        <f>$F71/4</f>
        <v>5.75</v>
      </c>
      <c r="BL71" s="348">
        <f>IF($D$65=2,$D71*2,$D71)</f>
        <v>11</v>
      </c>
      <c r="BM71" s="349">
        <f>IF($D$65=2,$F71*2,$F71)</f>
        <v>23</v>
      </c>
      <c r="BN71" s="348">
        <f>IF($D$65=3,$D71*2*3,$D71*3)</f>
        <v>33</v>
      </c>
      <c r="BO71" s="349">
        <f>IF($D$65=3,$F71*2*3,$F71*3)</f>
        <v>69</v>
      </c>
      <c r="BP71" s="348">
        <f t="shared" ref="BP71:BP88" si="13">$D71</f>
        <v>11</v>
      </c>
      <c r="BQ71" s="349">
        <f>$F71</f>
        <v>23</v>
      </c>
      <c r="BR71" s="348">
        <f>IF($D$65=4,$D71*2,$D71)</f>
        <v>11</v>
      </c>
      <c r="BS71" s="349">
        <f>IF($D$65=4,$F71*2,$F71)</f>
        <v>23</v>
      </c>
      <c r="BT71" s="350">
        <f>IF($D$65=1,$D71*2,$D71)</f>
        <v>11</v>
      </c>
      <c r="BU71" s="349">
        <f>IF($D$65=1,$F71*2,$F71)</f>
        <v>23</v>
      </c>
      <c r="BV71" s="348">
        <f>IF($D$65=3,$D71*2,$D71)</f>
        <v>11</v>
      </c>
      <c r="BW71" s="349">
        <f>IF($D$65=3,$F71*2,$F71)</f>
        <v>23</v>
      </c>
      <c r="BX71" s="348">
        <f>IF($D$65=2,$D71*2*3/4,$D71*3/4)</f>
        <v>8.25</v>
      </c>
      <c r="BY71" s="349">
        <f>IF($D$65=2,$F71*2*3/4,$F71*3/4)</f>
        <v>17.25</v>
      </c>
      <c r="BZ71" s="350">
        <f>$D71</f>
        <v>11</v>
      </c>
      <c r="CA71" s="349">
        <f>$F71</f>
        <v>23</v>
      </c>
      <c r="CB71" s="348">
        <f>$D71*3</f>
        <v>33</v>
      </c>
      <c r="CC71" s="349">
        <f>$F71*3</f>
        <v>69</v>
      </c>
      <c r="CD71" s="348">
        <f>IF($D$65=3,$D71*2/4,$D71/4)</f>
        <v>2.75</v>
      </c>
      <c r="CE71" s="349">
        <f>IF($D$65=3,$F71*2/4,$F71/4)</f>
        <v>5.75</v>
      </c>
      <c r="CF71" s="348">
        <f>IF($D$65=1,$D71*2,$D71)</f>
        <v>11</v>
      </c>
      <c r="CG71" s="349">
        <f>IF($D$65=1,$F71*2,$F71)</f>
        <v>23</v>
      </c>
      <c r="CH71" s="350">
        <f>$D71</f>
        <v>11</v>
      </c>
      <c r="CI71" s="349">
        <f>$F71</f>
        <v>23</v>
      </c>
      <c r="CJ71" s="348">
        <f>IF($D$65=1,$D71*2*3,$D71*3)</f>
        <v>33</v>
      </c>
      <c r="CK71" s="349">
        <f>IF($D$65=1,$F71*2*3,$F71*3)</f>
        <v>69</v>
      </c>
      <c r="CL71" s="348">
        <f>IF($D$65=2,$D71*2/4,$D71/4)</f>
        <v>2.75</v>
      </c>
      <c r="CM71" s="349">
        <f>IF($D$65=2,$F71*2/4,$F71/4)</f>
        <v>5.75</v>
      </c>
      <c r="CN71" s="350">
        <f t="shared" ref="CN71:CR88" si="14">$D71</f>
        <v>11</v>
      </c>
      <c r="CO71" s="349">
        <f>$F71</f>
        <v>23</v>
      </c>
      <c r="CP71" s="348">
        <f t="shared" si="14"/>
        <v>11</v>
      </c>
      <c r="CQ71" s="349">
        <f>$F71</f>
        <v>23</v>
      </c>
      <c r="CR71" s="348">
        <f t="shared" si="14"/>
        <v>11</v>
      </c>
      <c r="CS71" s="349">
        <f>$F71</f>
        <v>23</v>
      </c>
    </row>
    <row r="72" spans="1:97" hidden="1">
      <c r="A72" s="339" t="s">
        <v>124</v>
      </c>
      <c r="B72" s="239">
        <v>25</v>
      </c>
      <c r="C72" s="239">
        <v>30</v>
      </c>
      <c r="D72" s="344">
        <f t="shared" si="3"/>
        <v>57</v>
      </c>
      <c r="E72" s="345">
        <f t="shared" ref="E72:E88" si="15">AVERAGE(D72,F72)</f>
        <v>63</v>
      </c>
      <c r="F72" s="347">
        <f t="shared" si="4"/>
        <v>69</v>
      </c>
      <c r="G72" s="72"/>
      <c r="H72" s="350">
        <f t="shared" si="5"/>
        <v>57</v>
      </c>
      <c r="I72" s="349">
        <f t="shared" ref="I72:K88" si="16">$F72</f>
        <v>69</v>
      </c>
      <c r="J72" s="348">
        <f t="shared" si="6"/>
        <v>57</v>
      </c>
      <c r="K72" s="349">
        <f t="shared" si="16"/>
        <v>69</v>
      </c>
      <c r="L72" s="348">
        <f t="shared" si="7"/>
        <v>57</v>
      </c>
      <c r="M72" s="349">
        <f t="shared" ref="M72:M88" si="17">IF($D$65=1,$F72*2,$F72)</f>
        <v>69</v>
      </c>
      <c r="N72" s="348">
        <f t="shared" si="8"/>
        <v>57</v>
      </c>
      <c r="O72" s="349">
        <f t="shared" ref="O72:O88" si="18">$F72</f>
        <v>69</v>
      </c>
      <c r="P72" s="348">
        <f t="shared" si="9"/>
        <v>57</v>
      </c>
      <c r="Q72" s="349">
        <f t="shared" ref="Q72:Q88" si="19">IF($D$65=1,$F72*2,$F72)</f>
        <v>69</v>
      </c>
      <c r="R72" s="348">
        <f t="shared" si="10"/>
        <v>57</v>
      </c>
      <c r="S72" s="349">
        <f t="shared" ref="S72:S88" si="20">$F72</f>
        <v>69</v>
      </c>
      <c r="T72" s="348">
        <f t="shared" si="11"/>
        <v>57</v>
      </c>
      <c r="U72" s="349">
        <f t="shared" ref="U72:U88" si="21">$F72</f>
        <v>69</v>
      </c>
      <c r="V72" s="348">
        <f t="shared" ref="V72:V88" si="22">IF($D$65=2,$D72*2,$D72)</f>
        <v>57</v>
      </c>
      <c r="W72" s="349">
        <f t="shared" ref="W72:W88" si="23">IF($D$65=2,$F72*2,$F72)</f>
        <v>69</v>
      </c>
      <c r="X72" s="348">
        <f>IF($D$65=1,$D72*2,$D72)</f>
        <v>57</v>
      </c>
      <c r="Y72" s="349">
        <f t="shared" ref="Y72:Y88" si="24">IF($D$65=1,$F72*2,$F72)</f>
        <v>69</v>
      </c>
      <c r="Z72" s="348">
        <f t="shared" ref="Z72:Z88" si="25">IF($D$65=1,$D72*2,$D72*0.5)</f>
        <v>28.5</v>
      </c>
      <c r="AA72" s="349">
        <f t="shared" si="12"/>
        <v>34.5</v>
      </c>
      <c r="AB72" s="348">
        <f>$D72/2/4</f>
        <v>7.125</v>
      </c>
      <c r="AC72" s="349">
        <f>$F72/2/4</f>
        <v>8.625</v>
      </c>
      <c r="AD72" s="348">
        <f>$D72*3</f>
        <v>171</v>
      </c>
      <c r="AE72" s="349">
        <f>$F72*3</f>
        <v>207</v>
      </c>
      <c r="AF72" s="348">
        <f>IF($D$65=1,$D72*2,$D72)</f>
        <v>57</v>
      </c>
      <c r="AG72" s="349">
        <f t="shared" ref="AG72:AG88" si="26">IF($D$65=1,$F72*2,$F72)</f>
        <v>69</v>
      </c>
      <c r="AH72" s="348">
        <f>IF($D$65=1,$D72*2,$D72)</f>
        <v>57</v>
      </c>
      <c r="AI72" s="349">
        <f>IF($D$65=1,$F72*2,$F72)</f>
        <v>69</v>
      </c>
      <c r="AJ72" s="348">
        <f t="shared" ref="AJ72:AJ88" si="27">IF($D$65=3,$D72*2,$D72)</f>
        <v>57</v>
      </c>
      <c r="AK72" s="349">
        <f t="shared" ref="AK72:AK88" si="28">IF($D$65=3,$F72*2,$F72)</f>
        <v>69</v>
      </c>
      <c r="AL72" s="348">
        <f>IF($D$65=1,$D72*2,$D72)</f>
        <v>57</v>
      </c>
      <c r="AM72" s="349">
        <f t="shared" ref="AM72:AM88" si="29">IF($D$65=1,$F72*2,$F72)</f>
        <v>69</v>
      </c>
      <c r="AN72" s="348">
        <f>$D72*3/4</f>
        <v>42.75</v>
      </c>
      <c r="AO72" s="349">
        <f>$F72*3/4</f>
        <v>51.75</v>
      </c>
      <c r="AP72" s="348">
        <f>IF($D$65=3,$D72*2/4,$D72/4)</f>
        <v>14.25</v>
      </c>
      <c r="AQ72" s="349">
        <f>IF($D$65=3,$F72*2/4,$F72/4)</f>
        <v>17.25</v>
      </c>
      <c r="AR72" s="348">
        <f>IF($D$65=3,$D72*2/4,$D72/4)</f>
        <v>14.25</v>
      </c>
      <c r="AS72" s="349">
        <f>IF($D$65=3,$F72*2/4,$F72/4)</f>
        <v>17.25</v>
      </c>
      <c r="AT72" s="348">
        <f t="shared" ref="AT72:AT88" si="30">IF($D$65=4,$D72*2,$D72)</f>
        <v>57</v>
      </c>
      <c r="AU72" s="349">
        <f t="shared" ref="AU72:AU88" si="31">IF($D$65=4,$F72*2,$F72)</f>
        <v>69</v>
      </c>
      <c r="AV72" s="348">
        <f>IF($D$65=4,$D72*2*3,$D72*3/2)</f>
        <v>85.5</v>
      </c>
      <c r="AW72" s="349">
        <f>IF($D$65=4,$F72*2*3,$F72*3/2)</f>
        <v>103.5</v>
      </c>
      <c r="AX72" s="348">
        <f>IF($D$65=4,$D72*2,$D72/2)</f>
        <v>28.5</v>
      </c>
      <c r="AY72" s="349">
        <f>IF($D$65=4,$F72*2,$F72/2)</f>
        <v>34.5</v>
      </c>
      <c r="AZ72" s="348">
        <f>IF($D$65=4,$D72*2/4,$D72/4/2)</f>
        <v>7.125</v>
      </c>
      <c r="BA72" s="349">
        <f>IF($D$65=4,$F72*2/4,$F72/4/2)</f>
        <v>8.625</v>
      </c>
      <c r="BB72" s="348">
        <f>IF($D$65=4,$D72*2/4,$D72/4/2)</f>
        <v>7.125</v>
      </c>
      <c r="BC72" s="349">
        <f>IF($D$65=4,$F72*2/4,$F72/4/2)</f>
        <v>8.625</v>
      </c>
      <c r="BD72" s="348">
        <f t="shared" ref="BD72:BD88" si="32">IF($D$65=2,$D72*2,$D72)</f>
        <v>57</v>
      </c>
      <c r="BE72" s="349">
        <f t="shared" ref="BE72:BE88" si="33">IF($D$65=2,$F72*2,$F72)</f>
        <v>69</v>
      </c>
      <c r="BF72" s="348">
        <f>IF($D$65=3,$D72*2/4,$D72/4)</f>
        <v>14.25</v>
      </c>
      <c r="BG72" s="349">
        <f>IF($D$65=3,$F72*2/4,$F72/4)</f>
        <v>17.25</v>
      </c>
      <c r="BH72" s="348">
        <f>$D72</f>
        <v>57</v>
      </c>
      <c r="BI72" s="349">
        <f>$F72</f>
        <v>69</v>
      </c>
      <c r="BJ72" s="348">
        <f>$D72/4</f>
        <v>14.25</v>
      </c>
      <c r="BK72" s="349">
        <f>$F72/4</f>
        <v>17.25</v>
      </c>
      <c r="BL72" s="348">
        <f t="shared" ref="BL72:BL88" si="34">IF($D$65=2,$D72*2,$D72)</f>
        <v>57</v>
      </c>
      <c r="BM72" s="349">
        <f t="shared" ref="BM72:BM88" si="35">IF($D$65=2,$F72*2,$F72)</f>
        <v>69</v>
      </c>
      <c r="BN72" s="348">
        <f>IF($D$65=3,$D72*2/4,$D72/4)</f>
        <v>14.25</v>
      </c>
      <c r="BO72" s="349">
        <f>IF($D$65=3,$F72*2/4,$F72/4)</f>
        <v>17.25</v>
      </c>
      <c r="BP72" s="348">
        <f t="shared" si="13"/>
        <v>57</v>
      </c>
      <c r="BQ72" s="349">
        <f t="shared" ref="BQ72:BQ88" si="36">$F72</f>
        <v>69</v>
      </c>
      <c r="BR72" s="348">
        <f t="shared" ref="BR72:BR88" si="37">IF($D$65=4,$D72*2,$D72)</f>
        <v>57</v>
      </c>
      <c r="BS72" s="349">
        <f t="shared" ref="BS72:BS88" si="38">IF($D$65=4,$F72*2,$F72)</f>
        <v>69</v>
      </c>
      <c r="BT72" s="350">
        <f>IF($D$65=1,$D72*2,$D72)</f>
        <v>57</v>
      </c>
      <c r="BU72" s="349">
        <f t="shared" ref="BU72:BU88" si="39">IF($D$65=1,$F72*2,$F72)</f>
        <v>69</v>
      </c>
      <c r="BV72" s="348">
        <f t="shared" ref="BV72:BV88" si="40">IF($D$65=3,$D72*2,$D72)</f>
        <v>57</v>
      </c>
      <c r="BW72" s="349">
        <f t="shared" ref="BW72:BW88" si="41">IF($D$65=3,$F72*2,$F72)</f>
        <v>69</v>
      </c>
      <c r="BX72" s="348">
        <f>IF($D$65=2,$D72*2/4,$D72/4)</f>
        <v>14.25</v>
      </c>
      <c r="BY72" s="349">
        <f>IF($D$65=2,$F72*2/4,$F72/4)</f>
        <v>17.25</v>
      </c>
      <c r="BZ72" s="350">
        <f>$D72*3</f>
        <v>171</v>
      </c>
      <c r="CA72" s="349">
        <f>$F72*3</f>
        <v>207</v>
      </c>
      <c r="CB72" s="348">
        <f>$D72/4</f>
        <v>14.25</v>
      </c>
      <c r="CC72" s="349">
        <f>$F72/4</f>
        <v>17.25</v>
      </c>
      <c r="CD72" s="348">
        <f>IF($D$65=3,$D72*2/4,$D72/4)</f>
        <v>14.25</v>
      </c>
      <c r="CE72" s="349">
        <f>IF($D$65=3,$F72*2/4,$F72/4)</f>
        <v>17.25</v>
      </c>
      <c r="CF72" s="348">
        <f>IF($D$65=1,$D72*2,$D72)</f>
        <v>57</v>
      </c>
      <c r="CG72" s="349">
        <f t="shared" ref="CG72:CG88" si="42">IF($D$65=1,$F72*2,$F72)</f>
        <v>69</v>
      </c>
      <c r="CH72" s="350">
        <f>$D72*3</f>
        <v>171</v>
      </c>
      <c r="CI72" s="349">
        <f>$F72*3</f>
        <v>207</v>
      </c>
      <c r="CJ72" s="348">
        <f>IF($D$65=1,$D72*2/4,$D72/4)</f>
        <v>14.25</v>
      </c>
      <c r="CK72" s="349">
        <f>IF($D$65=1,$F72*2/4,$F72/4)</f>
        <v>17.25</v>
      </c>
      <c r="CL72" s="348">
        <f>IF($D$65=2,$D72*2/4,$D72/4)</f>
        <v>14.25</v>
      </c>
      <c r="CM72" s="349">
        <f>IF($D$65=2,$F72*2/4,$F72/4)</f>
        <v>17.25</v>
      </c>
      <c r="CN72" s="350">
        <f t="shared" si="14"/>
        <v>57</v>
      </c>
      <c r="CO72" s="349">
        <f t="shared" ref="CO72:CO88" si="43">$F72</f>
        <v>69</v>
      </c>
      <c r="CP72" s="348">
        <f t="shared" si="14"/>
        <v>57</v>
      </c>
      <c r="CQ72" s="349">
        <f t="shared" ref="CQ72:CQ88" si="44">$F72</f>
        <v>69</v>
      </c>
      <c r="CR72" s="348">
        <f t="shared" si="14"/>
        <v>57</v>
      </c>
      <c r="CS72" s="349">
        <f t="shared" ref="CS72:CS88" si="45">$F72</f>
        <v>69</v>
      </c>
    </row>
    <row r="73" spans="1:97" hidden="1">
      <c r="A73" s="340" t="s">
        <v>522</v>
      </c>
      <c r="B73" s="239">
        <v>15</v>
      </c>
      <c r="C73" s="239">
        <v>30</v>
      </c>
      <c r="D73" s="344">
        <f t="shared" si="3"/>
        <v>34</v>
      </c>
      <c r="E73" s="345">
        <f t="shared" si="15"/>
        <v>51.5</v>
      </c>
      <c r="F73" s="347">
        <f t="shared" si="4"/>
        <v>69</v>
      </c>
      <c r="G73" s="72"/>
      <c r="H73" s="350">
        <f t="shared" si="5"/>
        <v>34</v>
      </c>
      <c r="I73" s="349">
        <f t="shared" si="16"/>
        <v>69</v>
      </c>
      <c r="J73" s="348">
        <f t="shared" si="6"/>
        <v>34</v>
      </c>
      <c r="K73" s="349">
        <f t="shared" si="16"/>
        <v>69</v>
      </c>
      <c r="L73" s="348">
        <f t="shared" si="7"/>
        <v>34</v>
      </c>
      <c r="M73" s="349">
        <f t="shared" si="17"/>
        <v>69</v>
      </c>
      <c r="N73" s="348">
        <f t="shared" si="8"/>
        <v>34</v>
      </c>
      <c r="O73" s="349">
        <f t="shared" si="18"/>
        <v>69</v>
      </c>
      <c r="P73" s="348">
        <f t="shared" si="9"/>
        <v>34</v>
      </c>
      <c r="Q73" s="349">
        <f t="shared" si="19"/>
        <v>69</v>
      </c>
      <c r="R73" s="348">
        <f t="shared" si="10"/>
        <v>34</v>
      </c>
      <c r="S73" s="349">
        <f t="shared" si="20"/>
        <v>69</v>
      </c>
      <c r="T73" s="348">
        <f t="shared" si="11"/>
        <v>34</v>
      </c>
      <c r="U73" s="349">
        <f t="shared" si="21"/>
        <v>69</v>
      </c>
      <c r="V73" s="348">
        <f t="shared" si="22"/>
        <v>34</v>
      </c>
      <c r="W73" s="349">
        <f t="shared" si="23"/>
        <v>69</v>
      </c>
      <c r="X73" s="348">
        <f t="shared" ref="X73:X88" si="46">IF($D$65=1,$D73*2,$D73)</f>
        <v>34</v>
      </c>
      <c r="Y73" s="349">
        <f t="shared" si="24"/>
        <v>69</v>
      </c>
      <c r="Z73" s="348">
        <f t="shared" si="25"/>
        <v>17</v>
      </c>
      <c r="AA73" s="349">
        <f t="shared" si="12"/>
        <v>34.5</v>
      </c>
      <c r="AB73" s="348">
        <f>$D73/2*3</f>
        <v>51</v>
      </c>
      <c r="AC73" s="349">
        <f>$F73/2*3</f>
        <v>103.5</v>
      </c>
      <c r="AD73" s="348">
        <f>$D73/4</f>
        <v>8.5</v>
      </c>
      <c r="AE73" s="349">
        <f>$F73/4</f>
        <v>17.25</v>
      </c>
      <c r="AF73" s="348">
        <f t="shared" ref="AF73:AH88" si="47">IF($D$65=1,$D73*2,$D73)</f>
        <v>34</v>
      </c>
      <c r="AG73" s="349">
        <f t="shared" si="26"/>
        <v>69</v>
      </c>
      <c r="AH73" s="348">
        <f>IF($D$65=1,$D73*2/4,$D73/4)</f>
        <v>8.5</v>
      </c>
      <c r="AI73" s="349">
        <f>IF($D$65=1,$F73*2/4,$F73/4)</f>
        <v>17.25</v>
      </c>
      <c r="AJ73" s="348">
        <f t="shared" si="27"/>
        <v>34</v>
      </c>
      <c r="AK73" s="349">
        <f t="shared" si="28"/>
        <v>69</v>
      </c>
      <c r="AL73" s="348">
        <f t="shared" ref="AL73:AL88" si="48">IF($D$65=1,$D73*2,$D73)</f>
        <v>34</v>
      </c>
      <c r="AM73" s="349">
        <f t="shared" si="29"/>
        <v>69</v>
      </c>
      <c r="AN73" s="348">
        <f>$D73*3/4</f>
        <v>25.5</v>
      </c>
      <c r="AO73" s="349">
        <f>$F73*3/4</f>
        <v>51.75</v>
      </c>
      <c r="AP73" s="348">
        <f t="shared" ref="AP73:AR76" si="49">IF($D$65=3,$D73*2,$D73)</f>
        <v>34</v>
      </c>
      <c r="AQ73" s="349">
        <f>IF($D$65=3,$F73*2,$F73)</f>
        <v>69</v>
      </c>
      <c r="AR73" s="348">
        <f>IF($D$65=3,$D73*2*3,$D73*3)</f>
        <v>102</v>
      </c>
      <c r="AS73" s="349">
        <f>IF($D$65=3,$F73*2*3,$F73*3)</f>
        <v>207</v>
      </c>
      <c r="AT73" s="348">
        <f t="shared" si="30"/>
        <v>34</v>
      </c>
      <c r="AU73" s="349">
        <f t="shared" si="31"/>
        <v>69</v>
      </c>
      <c r="AV73" s="348">
        <f>IF($D$65=4,$D73*2/4,$D73/4/2)</f>
        <v>4.25</v>
      </c>
      <c r="AW73" s="349">
        <f>IF($D$65=4,$F73*2/4,$F73/4/2)</f>
        <v>8.625</v>
      </c>
      <c r="AX73" s="348">
        <f>IF($D$65=4,$D73*2/4,$D73/4/2)</f>
        <v>4.25</v>
      </c>
      <c r="AY73" s="349">
        <f>IF($D$65=4,$F73*2/4,$F73/4/2)</f>
        <v>8.625</v>
      </c>
      <c r="AZ73" s="348">
        <f>IF($D$65=4,$D73*2*3,$D73*3/2)</f>
        <v>51</v>
      </c>
      <c r="BA73" s="349">
        <f>IF($D$65=4,$F73*2*3,$F73*3/2)</f>
        <v>103.5</v>
      </c>
      <c r="BB73" s="348">
        <f>IF($D$65=4,$D73*2,$D73/2)</f>
        <v>17</v>
      </c>
      <c r="BC73" s="349">
        <f>IF($D$65=4,$F73*2,$F73/2)</f>
        <v>34.5</v>
      </c>
      <c r="BD73" s="348">
        <f t="shared" si="32"/>
        <v>34</v>
      </c>
      <c r="BE73" s="349">
        <f t="shared" si="33"/>
        <v>69</v>
      </c>
      <c r="BF73" s="348">
        <f>IF($D$65=3,$D73*2*3,$D73*3)</f>
        <v>102</v>
      </c>
      <c r="BG73" s="349">
        <f>IF($D$65=3,$F73*2*3,$F73*3)</f>
        <v>207</v>
      </c>
      <c r="BH73" s="348">
        <f>$D73/4</f>
        <v>8.5</v>
      </c>
      <c r="BI73" s="349">
        <f>$F73/4</f>
        <v>17.25</v>
      </c>
      <c r="BJ73" s="348">
        <f>$D73*3</f>
        <v>102</v>
      </c>
      <c r="BK73" s="349">
        <f>$F73*3</f>
        <v>207</v>
      </c>
      <c r="BL73" s="348">
        <f t="shared" si="34"/>
        <v>34</v>
      </c>
      <c r="BM73" s="349">
        <f t="shared" si="35"/>
        <v>69</v>
      </c>
      <c r="BN73" s="348">
        <f>IF($D$65=3,$D73*2,$D73)</f>
        <v>34</v>
      </c>
      <c r="BO73" s="349">
        <f>IF($D$65=3,$F73*2,$F73)</f>
        <v>69</v>
      </c>
      <c r="BP73" s="348">
        <f t="shared" si="13"/>
        <v>34</v>
      </c>
      <c r="BQ73" s="349">
        <f t="shared" si="36"/>
        <v>69</v>
      </c>
      <c r="BR73" s="348">
        <f t="shared" si="37"/>
        <v>34</v>
      </c>
      <c r="BS73" s="349">
        <f t="shared" si="38"/>
        <v>69</v>
      </c>
      <c r="BT73" s="350">
        <f t="shared" ref="BT73:BT88" si="50">IF($D$65=1,$D73*2,$D73)</f>
        <v>34</v>
      </c>
      <c r="BU73" s="349">
        <f t="shared" si="39"/>
        <v>69</v>
      </c>
      <c r="BV73" s="348">
        <f t="shared" si="40"/>
        <v>34</v>
      </c>
      <c r="BW73" s="349">
        <f t="shared" si="41"/>
        <v>69</v>
      </c>
      <c r="BX73" s="348">
        <f>IF($D$65=2,$D73*2/4,$D73/4)</f>
        <v>8.5</v>
      </c>
      <c r="BY73" s="349">
        <f>IF($D$65=2,$F73*2/4,$F73/4)</f>
        <v>17.25</v>
      </c>
      <c r="BZ73" s="350">
        <f>$D73/4</f>
        <v>8.5</v>
      </c>
      <c r="CA73" s="349">
        <f>$F73/4</f>
        <v>17.25</v>
      </c>
      <c r="CB73" s="348">
        <f>$D73</f>
        <v>34</v>
      </c>
      <c r="CC73" s="349">
        <f>$F73</f>
        <v>69</v>
      </c>
      <c r="CD73" s="348">
        <f>IF($D$65=3,$D73*2*3,$D73*3)</f>
        <v>102</v>
      </c>
      <c r="CE73" s="349">
        <f>IF($D$65=3,$F73*2*3,$F73*3)</f>
        <v>207</v>
      </c>
      <c r="CF73" s="348">
        <f t="shared" ref="CF73:CF88" si="51">IF($D$65=1,$D73*2,$D73)</f>
        <v>34</v>
      </c>
      <c r="CG73" s="349">
        <f t="shared" si="42"/>
        <v>69</v>
      </c>
      <c r="CH73" s="350">
        <f>$D73/4</f>
        <v>8.5</v>
      </c>
      <c r="CI73" s="349">
        <f>$F73/4</f>
        <v>17.25</v>
      </c>
      <c r="CJ73" s="348">
        <f>IF($D$65=1,$D73*2,$D73)</f>
        <v>34</v>
      </c>
      <c r="CK73" s="349">
        <f>IF($D$65=1,$F73*2,$F73)</f>
        <v>69</v>
      </c>
      <c r="CL73" s="348">
        <f>IF($D$65=2,$D73*2*3,$D73*3)</f>
        <v>102</v>
      </c>
      <c r="CM73" s="349">
        <f>IF($D$65=2,$F73*2*3,$F73*3)</f>
        <v>207</v>
      </c>
      <c r="CN73" s="350">
        <f t="shared" si="14"/>
        <v>34</v>
      </c>
      <c r="CO73" s="349">
        <f t="shared" si="43"/>
        <v>69</v>
      </c>
      <c r="CP73" s="348">
        <f t="shared" si="14"/>
        <v>34</v>
      </c>
      <c r="CQ73" s="349">
        <f t="shared" si="44"/>
        <v>69</v>
      </c>
      <c r="CR73" s="348">
        <f t="shared" si="14"/>
        <v>34</v>
      </c>
      <c r="CS73" s="349">
        <f t="shared" si="45"/>
        <v>69</v>
      </c>
    </row>
    <row r="74" spans="1:97" hidden="1">
      <c r="A74" s="109" t="s">
        <v>523</v>
      </c>
      <c r="B74" s="239">
        <v>10</v>
      </c>
      <c r="C74" s="239">
        <v>40</v>
      </c>
      <c r="D74" s="344">
        <f t="shared" si="3"/>
        <v>23</v>
      </c>
      <c r="E74" s="345">
        <f t="shared" si="15"/>
        <v>57.5</v>
      </c>
      <c r="F74" s="347">
        <f t="shared" si="4"/>
        <v>92</v>
      </c>
      <c r="G74" s="72"/>
      <c r="H74" s="350">
        <f t="shared" si="5"/>
        <v>23</v>
      </c>
      <c r="I74" s="349">
        <f t="shared" si="16"/>
        <v>92</v>
      </c>
      <c r="J74" s="348">
        <f t="shared" si="6"/>
        <v>23</v>
      </c>
      <c r="K74" s="349">
        <f t="shared" si="16"/>
        <v>92</v>
      </c>
      <c r="L74" s="348">
        <f t="shared" si="7"/>
        <v>23</v>
      </c>
      <c r="M74" s="349">
        <f t="shared" si="17"/>
        <v>92</v>
      </c>
      <c r="N74" s="348">
        <f t="shared" si="8"/>
        <v>23</v>
      </c>
      <c r="O74" s="349">
        <f t="shared" si="18"/>
        <v>92</v>
      </c>
      <c r="P74" s="348">
        <f t="shared" si="9"/>
        <v>23</v>
      </c>
      <c r="Q74" s="349">
        <f t="shared" si="19"/>
        <v>92</v>
      </c>
      <c r="R74" s="348">
        <f t="shared" si="10"/>
        <v>23</v>
      </c>
      <c r="S74" s="349">
        <f t="shared" si="20"/>
        <v>92</v>
      </c>
      <c r="T74" s="348">
        <f t="shared" si="11"/>
        <v>23</v>
      </c>
      <c r="U74" s="349">
        <f t="shared" si="21"/>
        <v>92</v>
      </c>
      <c r="V74" s="348">
        <f t="shared" si="22"/>
        <v>23</v>
      </c>
      <c r="W74" s="349">
        <f t="shared" si="23"/>
        <v>92</v>
      </c>
      <c r="X74" s="348">
        <f t="shared" si="46"/>
        <v>23</v>
      </c>
      <c r="Y74" s="349">
        <f t="shared" si="24"/>
        <v>92</v>
      </c>
      <c r="Z74" s="348">
        <f t="shared" si="25"/>
        <v>11.5</v>
      </c>
      <c r="AA74" s="349">
        <f t="shared" si="12"/>
        <v>46</v>
      </c>
      <c r="AB74" s="348">
        <f>$D74/2</f>
        <v>11.5</v>
      </c>
      <c r="AC74" s="349">
        <f>$F74/2</f>
        <v>46</v>
      </c>
      <c r="AD74" s="348">
        <f>$D74/4</f>
        <v>5.75</v>
      </c>
      <c r="AE74" s="349">
        <f>$F74/4</f>
        <v>23</v>
      </c>
      <c r="AF74" s="348">
        <f t="shared" si="47"/>
        <v>23</v>
      </c>
      <c r="AG74" s="349">
        <f t="shared" si="26"/>
        <v>92</v>
      </c>
      <c r="AH74" s="348">
        <f>IF($D$65=1,$D74*2*3,$D74*3)</f>
        <v>69</v>
      </c>
      <c r="AI74" s="349">
        <f>IF($D$65=1,$F74*2*3,$F74*3)</f>
        <v>276</v>
      </c>
      <c r="AJ74" s="348">
        <f t="shared" si="27"/>
        <v>23</v>
      </c>
      <c r="AK74" s="349">
        <f t="shared" si="28"/>
        <v>92</v>
      </c>
      <c r="AL74" s="348">
        <f t="shared" si="48"/>
        <v>23</v>
      </c>
      <c r="AM74" s="349">
        <f t="shared" si="29"/>
        <v>92</v>
      </c>
      <c r="AN74" s="348">
        <f>$D74/4</f>
        <v>5.75</v>
      </c>
      <c r="AO74" s="349">
        <f>$F74/4</f>
        <v>23</v>
      </c>
      <c r="AP74" s="348">
        <f>IF($D$65=3,$D74*2/4,$D74/4)</f>
        <v>5.75</v>
      </c>
      <c r="AQ74" s="349">
        <f>IF($D$65=3,$F74*2/4,$F74/4)</f>
        <v>23</v>
      </c>
      <c r="AR74" s="348">
        <f t="shared" si="49"/>
        <v>23</v>
      </c>
      <c r="AS74" s="349">
        <f>IF($D$65=3,$F74*2,$F74)</f>
        <v>92</v>
      </c>
      <c r="AT74" s="348">
        <f t="shared" si="30"/>
        <v>23</v>
      </c>
      <c r="AU74" s="349">
        <f t="shared" si="31"/>
        <v>92</v>
      </c>
      <c r="AV74" s="348">
        <f>IF($D$65=4,$D74*2/4,$D74/4/2)</f>
        <v>2.875</v>
      </c>
      <c r="AW74" s="349">
        <f>IF($D$65=4,$F74*2/4,$F74/4/2)</f>
        <v>11.5</v>
      </c>
      <c r="AX74" s="348">
        <f>IF($D$65=4,$D74*2*3,$D74*3/2)</f>
        <v>34.5</v>
      </c>
      <c r="AY74" s="349">
        <f>IF($D$65=4,$F74*2*3,$F74*3/2)</f>
        <v>138</v>
      </c>
      <c r="AZ74" s="348">
        <f>IF($D$65=4,$D74*2,$D74/2)</f>
        <v>11.5</v>
      </c>
      <c r="BA74" s="349">
        <f>IF($D$65=4,$F74*2,$F74/2)</f>
        <v>46</v>
      </c>
      <c r="BB74" s="348">
        <f>IF($D$65=4,$D74*2/4,$D74/4/2)</f>
        <v>2.875</v>
      </c>
      <c r="BC74" s="349">
        <f>IF($D$65=4,$F74*2/4,$F74/4/2)</f>
        <v>11.5</v>
      </c>
      <c r="BD74" s="348">
        <f t="shared" si="32"/>
        <v>23</v>
      </c>
      <c r="BE74" s="349">
        <f t="shared" si="33"/>
        <v>92</v>
      </c>
      <c r="BF74" s="348">
        <f>IF($D$65=3,$D74*2,$D74)</f>
        <v>23</v>
      </c>
      <c r="BG74" s="349">
        <f>IF($D$65=3,$F74*2,$F74)</f>
        <v>92</v>
      </c>
      <c r="BH74" s="348">
        <f>$D74*3</f>
        <v>69</v>
      </c>
      <c r="BI74" s="349">
        <f>$F74*3</f>
        <v>276</v>
      </c>
      <c r="BJ74" s="348">
        <f>$D74</f>
        <v>23</v>
      </c>
      <c r="BK74" s="349">
        <f>$F74</f>
        <v>92</v>
      </c>
      <c r="BL74" s="348">
        <f t="shared" si="34"/>
        <v>23</v>
      </c>
      <c r="BM74" s="349">
        <f t="shared" si="35"/>
        <v>92</v>
      </c>
      <c r="BN74" s="348">
        <f>IF($D$65=3,$D74*2/4,$D74/4)</f>
        <v>5.75</v>
      </c>
      <c r="BO74" s="349">
        <f>IF($D$65=3,$F74*2/4,$F74/4)</f>
        <v>23</v>
      </c>
      <c r="BP74" s="348">
        <f t="shared" si="13"/>
        <v>23</v>
      </c>
      <c r="BQ74" s="349">
        <f t="shared" si="36"/>
        <v>92</v>
      </c>
      <c r="BR74" s="348">
        <f t="shared" si="37"/>
        <v>23</v>
      </c>
      <c r="BS74" s="349">
        <f t="shared" si="38"/>
        <v>92</v>
      </c>
      <c r="BT74" s="350">
        <f t="shared" si="50"/>
        <v>23</v>
      </c>
      <c r="BU74" s="349">
        <f t="shared" si="39"/>
        <v>92</v>
      </c>
      <c r="BV74" s="348">
        <f t="shared" si="40"/>
        <v>23</v>
      </c>
      <c r="BW74" s="349">
        <f t="shared" si="41"/>
        <v>92</v>
      </c>
      <c r="BX74" s="348">
        <f>IF($D$65=2,$D74*2*3/4,$D74*3/4)</f>
        <v>17.25</v>
      </c>
      <c r="BY74" s="349">
        <f>IF($D$65=2,$F74*2*3/4,$F74*3/4)</f>
        <v>69</v>
      </c>
      <c r="BZ74" s="350">
        <f>$D74/4</f>
        <v>5.75</v>
      </c>
      <c r="CA74" s="349">
        <f>$F74/4</f>
        <v>23</v>
      </c>
      <c r="CB74" s="348">
        <f>$D74/4</f>
        <v>5.75</v>
      </c>
      <c r="CC74" s="349">
        <f>$F74/4</f>
        <v>23</v>
      </c>
      <c r="CD74" s="348">
        <f>IF($D$65=3,$D74*2,$D74)</f>
        <v>23</v>
      </c>
      <c r="CE74" s="349">
        <f>IF($D$65=3,$F74*2,$F74)</f>
        <v>92</v>
      </c>
      <c r="CF74" s="348">
        <f t="shared" si="51"/>
        <v>23</v>
      </c>
      <c r="CG74" s="349">
        <f t="shared" si="42"/>
        <v>92</v>
      </c>
      <c r="CH74" s="350">
        <f>$D74/4</f>
        <v>5.75</v>
      </c>
      <c r="CI74" s="349">
        <f>$F74/4</f>
        <v>23</v>
      </c>
      <c r="CJ74" s="348">
        <f>IF($D$65=1,$D74*2/4,$D74/4)</f>
        <v>5.75</v>
      </c>
      <c r="CK74" s="349">
        <f>IF($D$65=1,$F74*2/4,$F74/4)</f>
        <v>23</v>
      </c>
      <c r="CL74" s="348">
        <f>IF($D$65=2,$D74*2,$D74)</f>
        <v>23</v>
      </c>
      <c r="CM74" s="349">
        <f>IF($D$65=2,$F74*2,$F74)</f>
        <v>92</v>
      </c>
      <c r="CN74" s="350">
        <f t="shared" si="14"/>
        <v>23</v>
      </c>
      <c r="CO74" s="349">
        <f t="shared" si="43"/>
        <v>92</v>
      </c>
      <c r="CP74" s="348">
        <f t="shared" si="14"/>
        <v>23</v>
      </c>
      <c r="CQ74" s="349">
        <f t="shared" si="44"/>
        <v>92</v>
      </c>
      <c r="CR74" s="348">
        <f t="shared" si="14"/>
        <v>23</v>
      </c>
      <c r="CS74" s="349">
        <f t="shared" si="45"/>
        <v>92</v>
      </c>
    </row>
    <row r="75" spans="1:97" hidden="1">
      <c r="A75" s="25" t="s">
        <v>383</v>
      </c>
      <c r="B75" s="239">
        <v>20</v>
      </c>
      <c r="C75" s="239">
        <v>25</v>
      </c>
      <c r="D75" s="344">
        <f t="shared" si="3"/>
        <v>46</v>
      </c>
      <c r="E75" s="345">
        <f t="shared" si="15"/>
        <v>51.75</v>
      </c>
      <c r="F75" s="347">
        <f t="shared" si="4"/>
        <v>57.499999999999993</v>
      </c>
      <c r="G75" s="72"/>
      <c r="H75" s="350">
        <f t="shared" si="5"/>
        <v>46</v>
      </c>
      <c r="I75" s="349">
        <f t="shared" si="16"/>
        <v>57.499999999999993</v>
      </c>
      <c r="J75" s="348">
        <f t="shared" si="6"/>
        <v>46</v>
      </c>
      <c r="K75" s="349">
        <f t="shared" si="16"/>
        <v>57.499999999999993</v>
      </c>
      <c r="L75" s="348">
        <f t="shared" si="7"/>
        <v>46</v>
      </c>
      <c r="M75" s="349">
        <f t="shared" si="17"/>
        <v>57.499999999999993</v>
      </c>
      <c r="N75" s="348">
        <f t="shared" si="8"/>
        <v>46</v>
      </c>
      <c r="O75" s="349">
        <f t="shared" si="18"/>
        <v>57.499999999999993</v>
      </c>
      <c r="P75" s="348">
        <f t="shared" si="9"/>
        <v>46</v>
      </c>
      <c r="Q75" s="349">
        <f t="shared" si="19"/>
        <v>57.499999999999993</v>
      </c>
      <c r="R75" s="348">
        <f t="shared" si="10"/>
        <v>46</v>
      </c>
      <c r="S75" s="349">
        <f t="shared" si="20"/>
        <v>57.499999999999993</v>
      </c>
      <c r="T75" s="348">
        <f t="shared" si="11"/>
        <v>46</v>
      </c>
      <c r="U75" s="349">
        <f t="shared" si="21"/>
        <v>57.499999999999993</v>
      </c>
      <c r="V75" s="348">
        <f t="shared" si="22"/>
        <v>46</v>
      </c>
      <c r="W75" s="349">
        <f t="shared" si="23"/>
        <v>57.499999999999993</v>
      </c>
      <c r="X75" s="348">
        <f t="shared" si="46"/>
        <v>46</v>
      </c>
      <c r="Y75" s="349">
        <f t="shared" si="24"/>
        <v>57.499999999999993</v>
      </c>
      <c r="Z75" s="348">
        <f t="shared" si="25"/>
        <v>23</v>
      </c>
      <c r="AA75" s="349">
        <f t="shared" si="12"/>
        <v>28.749999999999996</v>
      </c>
      <c r="AB75" s="348">
        <f>$D75/2</f>
        <v>23</v>
      </c>
      <c r="AC75" s="349">
        <f>$F75/2</f>
        <v>28.749999999999996</v>
      </c>
      <c r="AD75" s="348">
        <f>$D75</f>
        <v>46</v>
      </c>
      <c r="AE75" s="349">
        <f>$F75</f>
        <v>57.499999999999993</v>
      </c>
      <c r="AF75" s="348">
        <f t="shared" si="47"/>
        <v>46</v>
      </c>
      <c r="AG75" s="349">
        <f t="shared" si="26"/>
        <v>57.499999999999993</v>
      </c>
      <c r="AH75" s="348">
        <f t="shared" si="47"/>
        <v>46</v>
      </c>
      <c r="AI75" s="349">
        <f>IF($D$65=1,$F75*2,$F75)</f>
        <v>57.499999999999993</v>
      </c>
      <c r="AJ75" s="348">
        <f t="shared" si="27"/>
        <v>46</v>
      </c>
      <c r="AK75" s="349">
        <f t="shared" si="28"/>
        <v>57.499999999999993</v>
      </c>
      <c r="AL75" s="348">
        <f t="shared" si="48"/>
        <v>46</v>
      </c>
      <c r="AM75" s="349">
        <f t="shared" si="29"/>
        <v>57.499999999999993</v>
      </c>
      <c r="AN75" s="348">
        <f>$D75</f>
        <v>46</v>
      </c>
      <c r="AO75" s="349">
        <f>$F75</f>
        <v>57.499999999999993</v>
      </c>
      <c r="AP75" s="348">
        <f t="shared" si="49"/>
        <v>46</v>
      </c>
      <c r="AQ75" s="349">
        <f>IF($D$65=3,$F75*2,$F75)</f>
        <v>57.499999999999993</v>
      </c>
      <c r="AR75" s="348">
        <f t="shared" si="49"/>
        <v>46</v>
      </c>
      <c r="AS75" s="349">
        <f>IF($D$65=3,$F75*2,$F75)</f>
        <v>57.499999999999993</v>
      </c>
      <c r="AT75" s="348">
        <f t="shared" si="30"/>
        <v>46</v>
      </c>
      <c r="AU75" s="349">
        <f t="shared" si="31"/>
        <v>57.499999999999993</v>
      </c>
      <c r="AV75" s="348">
        <f>IF($D$65=4,$D75*2,$D75/2)</f>
        <v>23</v>
      </c>
      <c r="AW75" s="349">
        <f>IF($D$65=4,$F75*2,$F75/2)</f>
        <v>28.749999999999996</v>
      </c>
      <c r="AX75" s="348">
        <f t="shared" ref="AX75:BB76" si="52">IF($D$65=4,$D75*2,$D75/2)</f>
        <v>23</v>
      </c>
      <c r="AY75" s="349">
        <f>IF($D$65=4,$F75*2,$F75/2)</f>
        <v>28.749999999999996</v>
      </c>
      <c r="AZ75" s="348">
        <f t="shared" si="52"/>
        <v>23</v>
      </c>
      <c r="BA75" s="349">
        <f>IF($D$65=4,$F75*2,$F75/2)</f>
        <v>28.749999999999996</v>
      </c>
      <c r="BB75" s="348">
        <f t="shared" si="52"/>
        <v>23</v>
      </c>
      <c r="BC75" s="349">
        <f>IF($D$65=4,$F75*2,$F75/2)</f>
        <v>28.749999999999996</v>
      </c>
      <c r="BD75" s="348">
        <f t="shared" si="32"/>
        <v>46</v>
      </c>
      <c r="BE75" s="349">
        <f t="shared" si="33"/>
        <v>57.499999999999993</v>
      </c>
      <c r="BF75" s="348">
        <f>IF($D$65=3,$D75*2,$D75)</f>
        <v>46</v>
      </c>
      <c r="BG75" s="349">
        <f>IF($D$65=3,$F75*2,$F75)</f>
        <v>57.499999999999993</v>
      </c>
      <c r="BH75" s="348">
        <f>$D75</f>
        <v>46</v>
      </c>
      <c r="BI75" s="349">
        <f>$F75</f>
        <v>57.499999999999993</v>
      </c>
      <c r="BJ75" s="348">
        <f>$D75</f>
        <v>46</v>
      </c>
      <c r="BK75" s="349">
        <f>$F75</f>
        <v>57.499999999999993</v>
      </c>
      <c r="BL75" s="348">
        <f t="shared" si="34"/>
        <v>46</v>
      </c>
      <c r="BM75" s="349">
        <f t="shared" si="35"/>
        <v>57.499999999999993</v>
      </c>
      <c r="BN75" s="348">
        <f>IF($D$65=3,$D75*2,$D75)</f>
        <v>46</v>
      </c>
      <c r="BO75" s="349">
        <f>IF($D$65=3,$F75*2,$F75)</f>
        <v>57.499999999999993</v>
      </c>
      <c r="BP75" s="348">
        <f t="shared" si="13"/>
        <v>46</v>
      </c>
      <c r="BQ75" s="349">
        <f t="shared" si="36"/>
        <v>57.499999999999993</v>
      </c>
      <c r="BR75" s="348">
        <f t="shared" si="37"/>
        <v>46</v>
      </c>
      <c r="BS75" s="349">
        <f t="shared" si="38"/>
        <v>57.499999999999993</v>
      </c>
      <c r="BT75" s="350">
        <f t="shared" si="50"/>
        <v>46</v>
      </c>
      <c r="BU75" s="349">
        <f t="shared" si="39"/>
        <v>57.499999999999993</v>
      </c>
      <c r="BV75" s="348">
        <f t="shared" si="40"/>
        <v>46</v>
      </c>
      <c r="BW75" s="349">
        <f t="shared" si="41"/>
        <v>57.499999999999993</v>
      </c>
      <c r="BX75" s="348">
        <f>IF($D$65=2,$D75*2,$D75)</f>
        <v>46</v>
      </c>
      <c r="BY75" s="349">
        <f>IF($D$65=2,$F75*2,$F75)</f>
        <v>57.499999999999993</v>
      </c>
      <c r="BZ75" s="350">
        <f>$D75</f>
        <v>46</v>
      </c>
      <c r="CA75" s="349">
        <f>$F75</f>
        <v>57.499999999999993</v>
      </c>
      <c r="CB75" s="348">
        <f>$D75</f>
        <v>46</v>
      </c>
      <c r="CC75" s="349">
        <f>$F75</f>
        <v>57.499999999999993</v>
      </c>
      <c r="CD75" s="348">
        <f>IF($D$65=3,$D75*2,$D75)</f>
        <v>46</v>
      </c>
      <c r="CE75" s="349">
        <f>IF($D$65=3,$F75*2,$F75)</f>
        <v>57.499999999999993</v>
      </c>
      <c r="CF75" s="348">
        <f t="shared" si="51"/>
        <v>46</v>
      </c>
      <c r="CG75" s="349">
        <f t="shared" si="42"/>
        <v>57.499999999999993</v>
      </c>
      <c r="CH75" s="350">
        <f>$D75</f>
        <v>46</v>
      </c>
      <c r="CI75" s="349">
        <f>$F75</f>
        <v>57.499999999999993</v>
      </c>
      <c r="CJ75" s="348">
        <f>IF($D$65=1,$D75*2,$D75)</f>
        <v>46</v>
      </c>
      <c r="CK75" s="349">
        <f>IF($D$65=1,$F75*2,$F75)</f>
        <v>57.499999999999993</v>
      </c>
      <c r="CL75" s="348">
        <f>IF($D$65=2,$D75*2,$D75)</f>
        <v>46</v>
      </c>
      <c r="CM75" s="349">
        <f>IF($D$65=2,$F75*2,$F75)</f>
        <v>57.499999999999993</v>
      </c>
      <c r="CN75" s="350">
        <f t="shared" si="14"/>
        <v>46</v>
      </c>
      <c r="CO75" s="349">
        <f t="shared" si="43"/>
        <v>57.499999999999993</v>
      </c>
      <c r="CP75" s="348">
        <f t="shared" si="14"/>
        <v>46</v>
      </c>
      <c r="CQ75" s="349">
        <f t="shared" si="44"/>
        <v>57.499999999999993</v>
      </c>
      <c r="CR75" s="348">
        <f t="shared" si="14"/>
        <v>46</v>
      </c>
      <c r="CS75" s="349">
        <f t="shared" si="45"/>
        <v>57.499999999999993</v>
      </c>
    </row>
    <row r="76" spans="1:97" hidden="1">
      <c r="A76" s="29" t="s">
        <v>93</v>
      </c>
      <c r="B76" s="326">
        <v>20</v>
      </c>
      <c r="C76" s="326">
        <v>30</v>
      </c>
      <c r="D76" s="351">
        <f t="shared" si="3"/>
        <v>46</v>
      </c>
      <c r="E76" s="352">
        <f t="shared" si="15"/>
        <v>57.5</v>
      </c>
      <c r="F76" s="353">
        <f t="shared" si="4"/>
        <v>69</v>
      </c>
      <c r="G76" s="75"/>
      <c r="H76" s="354">
        <f t="shared" si="5"/>
        <v>46</v>
      </c>
      <c r="I76" s="355">
        <f t="shared" si="16"/>
        <v>69</v>
      </c>
      <c r="J76" s="356">
        <f t="shared" si="6"/>
        <v>46</v>
      </c>
      <c r="K76" s="355">
        <f t="shared" si="16"/>
        <v>69</v>
      </c>
      <c r="L76" s="356">
        <f t="shared" si="7"/>
        <v>46</v>
      </c>
      <c r="M76" s="355">
        <f t="shared" si="17"/>
        <v>69</v>
      </c>
      <c r="N76" s="356">
        <f t="shared" si="8"/>
        <v>46</v>
      </c>
      <c r="O76" s="355">
        <f t="shared" si="18"/>
        <v>69</v>
      </c>
      <c r="P76" s="356">
        <f t="shared" si="9"/>
        <v>46</v>
      </c>
      <c r="Q76" s="355">
        <f t="shared" si="19"/>
        <v>69</v>
      </c>
      <c r="R76" s="356">
        <f t="shared" si="10"/>
        <v>46</v>
      </c>
      <c r="S76" s="355">
        <f t="shared" si="20"/>
        <v>69</v>
      </c>
      <c r="T76" s="356">
        <f t="shared" si="11"/>
        <v>46</v>
      </c>
      <c r="U76" s="355">
        <f t="shared" si="21"/>
        <v>69</v>
      </c>
      <c r="V76" s="356">
        <f t="shared" si="22"/>
        <v>46</v>
      </c>
      <c r="W76" s="355">
        <f t="shared" si="23"/>
        <v>69</v>
      </c>
      <c r="X76" s="356">
        <f t="shared" si="46"/>
        <v>46</v>
      </c>
      <c r="Y76" s="355">
        <f t="shared" si="24"/>
        <v>69</v>
      </c>
      <c r="Z76" s="356">
        <f t="shared" si="25"/>
        <v>23</v>
      </c>
      <c r="AA76" s="355">
        <f t="shared" si="12"/>
        <v>34.5</v>
      </c>
      <c r="AB76" s="356">
        <f>$D76/2</f>
        <v>23</v>
      </c>
      <c r="AC76" s="355">
        <f>$F76/2</f>
        <v>34.5</v>
      </c>
      <c r="AD76" s="356">
        <f>$D76</f>
        <v>46</v>
      </c>
      <c r="AE76" s="355">
        <f>$F76</f>
        <v>69</v>
      </c>
      <c r="AF76" s="356">
        <f t="shared" si="47"/>
        <v>46</v>
      </c>
      <c r="AG76" s="355">
        <f t="shared" si="26"/>
        <v>69</v>
      </c>
      <c r="AH76" s="356">
        <f t="shared" si="47"/>
        <v>46</v>
      </c>
      <c r="AI76" s="355">
        <f>IF($D$65=1,$F76*2,$F76)</f>
        <v>69</v>
      </c>
      <c r="AJ76" s="356">
        <f t="shared" si="27"/>
        <v>46</v>
      </c>
      <c r="AK76" s="355">
        <f t="shared" si="28"/>
        <v>69</v>
      </c>
      <c r="AL76" s="356">
        <f t="shared" si="48"/>
        <v>46</v>
      </c>
      <c r="AM76" s="355">
        <f t="shared" si="29"/>
        <v>69</v>
      </c>
      <c r="AN76" s="356">
        <f>$D76</f>
        <v>46</v>
      </c>
      <c r="AO76" s="355">
        <f>$F76</f>
        <v>69</v>
      </c>
      <c r="AP76" s="356">
        <f t="shared" si="49"/>
        <v>46</v>
      </c>
      <c r="AQ76" s="355">
        <f>IF($D$65=3,$F76*2,$F76)</f>
        <v>69</v>
      </c>
      <c r="AR76" s="356">
        <f t="shared" si="49"/>
        <v>46</v>
      </c>
      <c r="AS76" s="355">
        <f>IF($D$65=3,$F76*2,$F76)</f>
        <v>69</v>
      </c>
      <c r="AT76" s="356">
        <f t="shared" si="30"/>
        <v>46</v>
      </c>
      <c r="AU76" s="355">
        <f t="shared" si="31"/>
        <v>69</v>
      </c>
      <c r="AV76" s="356">
        <f>IF($D$65=4,$D76*2,$D76/2)</f>
        <v>23</v>
      </c>
      <c r="AW76" s="355">
        <f>IF($D$65=4,$F76*2,$F76/2)</f>
        <v>34.5</v>
      </c>
      <c r="AX76" s="356">
        <f t="shared" si="52"/>
        <v>23</v>
      </c>
      <c r="AY76" s="355">
        <f>IF($D$65=4,$F76*2,$F76/2)</f>
        <v>34.5</v>
      </c>
      <c r="AZ76" s="356">
        <f t="shared" si="52"/>
        <v>23</v>
      </c>
      <c r="BA76" s="355">
        <f>IF($D$65=4,$F76*2,$F76/2)</f>
        <v>34.5</v>
      </c>
      <c r="BB76" s="356">
        <f t="shared" si="52"/>
        <v>23</v>
      </c>
      <c r="BC76" s="355">
        <f>IF($D$65=4,$F76*2,$F76/2)</f>
        <v>34.5</v>
      </c>
      <c r="BD76" s="356">
        <f t="shared" si="32"/>
        <v>46</v>
      </c>
      <c r="BE76" s="355">
        <f t="shared" si="33"/>
        <v>69</v>
      </c>
      <c r="BF76" s="356">
        <f>IF($D$65=3,$D76*2,$D76)</f>
        <v>46</v>
      </c>
      <c r="BG76" s="355">
        <f>IF($D$65=3,$F76*2,$F76)</f>
        <v>69</v>
      </c>
      <c r="BH76" s="356">
        <f>$D76</f>
        <v>46</v>
      </c>
      <c r="BI76" s="355">
        <f>$F76</f>
        <v>69</v>
      </c>
      <c r="BJ76" s="356">
        <f>$D76</f>
        <v>46</v>
      </c>
      <c r="BK76" s="355">
        <f>$F76</f>
        <v>69</v>
      </c>
      <c r="BL76" s="356">
        <f t="shared" si="34"/>
        <v>46</v>
      </c>
      <c r="BM76" s="355">
        <f t="shared" si="35"/>
        <v>69</v>
      </c>
      <c r="BN76" s="356">
        <f>IF($D$65=3,$D76*2,$D76)</f>
        <v>46</v>
      </c>
      <c r="BO76" s="355">
        <f>IF($D$65=3,$F76*2,$F76)</f>
        <v>69</v>
      </c>
      <c r="BP76" s="356">
        <f t="shared" si="13"/>
        <v>46</v>
      </c>
      <c r="BQ76" s="355">
        <f t="shared" si="36"/>
        <v>69</v>
      </c>
      <c r="BR76" s="356">
        <f t="shared" si="37"/>
        <v>46</v>
      </c>
      <c r="BS76" s="355">
        <f t="shared" si="38"/>
        <v>69</v>
      </c>
      <c r="BT76" s="354">
        <f t="shared" si="50"/>
        <v>46</v>
      </c>
      <c r="BU76" s="355">
        <f t="shared" si="39"/>
        <v>69</v>
      </c>
      <c r="BV76" s="356">
        <f t="shared" si="40"/>
        <v>46</v>
      </c>
      <c r="BW76" s="355">
        <f t="shared" si="41"/>
        <v>69</v>
      </c>
      <c r="BX76" s="356">
        <f>IF($D$65=2,$D76*2,$D76)</f>
        <v>46</v>
      </c>
      <c r="BY76" s="355">
        <f>IF($D$65=2,$F76*2,$F76)</f>
        <v>69</v>
      </c>
      <c r="BZ76" s="354">
        <f>$D76</f>
        <v>46</v>
      </c>
      <c r="CA76" s="355">
        <f>$F76</f>
        <v>69</v>
      </c>
      <c r="CB76" s="356">
        <f>$D76</f>
        <v>46</v>
      </c>
      <c r="CC76" s="355">
        <f>$F76</f>
        <v>69</v>
      </c>
      <c r="CD76" s="356">
        <f>IF($D$65=3,$D76*2,$D76)</f>
        <v>46</v>
      </c>
      <c r="CE76" s="355">
        <f>IF($D$65=3,$F76*2,$F76)</f>
        <v>69</v>
      </c>
      <c r="CF76" s="356">
        <f t="shared" si="51"/>
        <v>46</v>
      </c>
      <c r="CG76" s="355">
        <f t="shared" si="42"/>
        <v>69</v>
      </c>
      <c r="CH76" s="354">
        <f>$D76</f>
        <v>46</v>
      </c>
      <c r="CI76" s="355">
        <f>$F76</f>
        <v>69</v>
      </c>
      <c r="CJ76" s="356">
        <f>IF($D$65=1,$D76*2,$D76)</f>
        <v>46</v>
      </c>
      <c r="CK76" s="355">
        <f>IF($D$65=1,$F76*2,$F76)</f>
        <v>69</v>
      </c>
      <c r="CL76" s="356">
        <f>IF($D$65=2,$D76*2,$D76)</f>
        <v>46</v>
      </c>
      <c r="CM76" s="355">
        <f>IF($D$65=2,$F76*2,$F76)</f>
        <v>69</v>
      </c>
      <c r="CN76" s="354">
        <f t="shared" si="14"/>
        <v>46</v>
      </c>
      <c r="CO76" s="355">
        <f t="shared" si="43"/>
        <v>69</v>
      </c>
      <c r="CP76" s="356">
        <f t="shared" si="14"/>
        <v>46</v>
      </c>
      <c r="CQ76" s="355">
        <f t="shared" si="44"/>
        <v>69</v>
      </c>
      <c r="CR76" s="356">
        <f t="shared" si="14"/>
        <v>46</v>
      </c>
      <c r="CS76" s="355">
        <f t="shared" si="45"/>
        <v>69</v>
      </c>
    </row>
    <row r="77" spans="1:97" hidden="1">
      <c r="A77" s="107" t="s">
        <v>126</v>
      </c>
      <c r="B77" s="239">
        <v>30</v>
      </c>
      <c r="C77" s="239">
        <v>80</v>
      </c>
      <c r="D77" s="344">
        <f t="shared" si="3"/>
        <v>69</v>
      </c>
      <c r="E77" s="345">
        <f t="shared" si="15"/>
        <v>126.5</v>
      </c>
      <c r="F77" s="347">
        <f t="shared" si="4"/>
        <v>184</v>
      </c>
      <c r="G77" s="72"/>
      <c r="H77" s="350">
        <f t="shared" si="5"/>
        <v>69</v>
      </c>
      <c r="I77" s="349">
        <f t="shared" si="16"/>
        <v>184</v>
      </c>
      <c r="J77" s="348">
        <f t="shared" si="6"/>
        <v>69</v>
      </c>
      <c r="K77" s="349">
        <f t="shared" si="16"/>
        <v>184</v>
      </c>
      <c r="L77" s="348">
        <f t="shared" si="7"/>
        <v>69</v>
      </c>
      <c r="M77" s="349">
        <f t="shared" si="17"/>
        <v>184</v>
      </c>
      <c r="N77" s="348">
        <f t="shared" si="8"/>
        <v>69</v>
      </c>
      <c r="O77" s="349">
        <f t="shared" si="18"/>
        <v>184</v>
      </c>
      <c r="P77" s="348">
        <f t="shared" si="9"/>
        <v>69</v>
      </c>
      <c r="Q77" s="349">
        <f t="shared" si="19"/>
        <v>184</v>
      </c>
      <c r="R77" s="348">
        <f t="shared" si="10"/>
        <v>69</v>
      </c>
      <c r="S77" s="349">
        <f t="shared" si="20"/>
        <v>184</v>
      </c>
      <c r="T77" s="348">
        <f t="shared" si="11"/>
        <v>69</v>
      </c>
      <c r="U77" s="349">
        <f t="shared" si="21"/>
        <v>184</v>
      </c>
      <c r="V77" s="348">
        <f t="shared" si="22"/>
        <v>69</v>
      </c>
      <c r="W77" s="349">
        <f t="shared" si="23"/>
        <v>184</v>
      </c>
      <c r="X77" s="348">
        <f t="shared" si="46"/>
        <v>69</v>
      </c>
      <c r="Y77" s="349">
        <f t="shared" si="24"/>
        <v>184</v>
      </c>
      <c r="Z77" s="348">
        <f t="shared" si="25"/>
        <v>34.5</v>
      </c>
      <c r="AA77" s="349">
        <f t="shared" si="12"/>
        <v>92</v>
      </c>
      <c r="AB77" s="348">
        <f>$D77/2/4</f>
        <v>8.625</v>
      </c>
      <c r="AC77" s="349">
        <f>$F77/2/4</f>
        <v>23</v>
      </c>
      <c r="AD77" s="348">
        <f>$D77</f>
        <v>69</v>
      </c>
      <c r="AE77" s="349">
        <f>$F77</f>
        <v>184</v>
      </c>
      <c r="AF77" s="348">
        <f t="shared" si="47"/>
        <v>69</v>
      </c>
      <c r="AG77" s="349">
        <f t="shared" si="26"/>
        <v>184</v>
      </c>
      <c r="AH77" s="348">
        <f>IF($D$65=1,$D77*2/4,$D77/4)</f>
        <v>17.25</v>
      </c>
      <c r="AI77" s="349">
        <f>IF($D$65=1,$F77*2/4,$F77/4)</f>
        <v>46</v>
      </c>
      <c r="AJ77" s="348">
        <f t="shared" si="27"/>
        <v>69</v>
      </c>
      <c r="AK77" s="349">
        <f t="shared" si="28"/>
        <v>184</v>
      </c>
      <c r="AL77" s="348">
        <f t="shared" si="48"/>
        <v>69</v>
      </c>
      <c r="AM77" s="349">
        <f t="shared" si="29"/>
        <v>184</v>
      </c>
      <c r="AN77" s="348">
        <f>$D77/4</f>
        <v>17.25</v>
      </c>
      <c r="AO77" s="349">
        <f>$F77/4</f>
        <v>46</v>
      </c>
      <c r="AP77" s="348">
        <f>IF($D$65=3,$D77*2*3,$D77*3)</f>
        <v>207</v>
      </c>
      <c r="AQ77" s="349">
        <f>IF($D$65=3,$F77*2*3,$F77*3)</f>
        <v>552</v>
      </c>
      <c r="AR77" s="348">
        <f>IF($D$65=3,$D77*2/4,$D77/4)</f>
        <v>17.25</v>
      </c>
      <c r="AS77" s="349">
        <f>IF($D$65=3,$F77*2/4,$F77/4)</f>
        <v>46</v>
      </c>
      <c r="AT77" s="348">
        <f t="shared" si="30"/>
        <v>69</v>
      </c>
      <c r="AU77" s="349">
        <f t="shared" si="31"/>
        <v>184</v>
      </c>
      <c r="AV77" s="348">
        <f>IF($D$65=4,$D77*2,$D77/2)</f>
        <v>34.5</v>
      </c>
      <c r="AW77" s="349">
        <f>IF($D$65=4,$F77*2,$F77/2)</f>
        <v>92</v>
      </c>
      <c r="AX77" s="348">
        <f>IF($D$65=4,$D77*2/4,$D77/4/2)</f>
        <v>8.625</v>
      </c>
      <c r="AY77" s="349">
        <f>IF($D$65=4,$F77*2/4,$F77/4/2)</f>
        <v>23</v>
      </c>
      <c r="AZ77" s="348">
        <f>IF($D$65=4,$D77*2/4,$D77/4/2)</f>
        <v>8.625</v>
      </c>
      <c r="BA77" s="349">
        <f>IF($D$65=4,$F77*2/4,$F77/4/2)</f>
        <v>23</v>
      </c>
      <c r="BB77" s="348">
        <f>IF($D$65=4,$D77*2*3,$D77*3/2)</f>
        <v>103.5</v>
      </c>
      <c r="BC77" s="349">
        <f>IF($D$65=4,$F77*2*3,$F77*3/2)</f>
        <v>276</v>
      </c>
      <c r="BD77" s="348">
        <f t="shared" si="32"/>
        <v>69</v>
      </c>
      <c r="BE77" s="349">
        <f t="shared" si="33"/>
        <v>184</v>
      </c>
      <c r="BF77" s="348">
        <f>IF($D$65=3,$D77*2/4,$D77/4)</f>
        <v>17.25</v>
      </c>
      <c r="BG77" s="349">
        <f>IF($D$65=3,$F77*2/4,$F77/4)</f>
        <v>46</v>
      </c>
      <c r="BH77" s="348">
        <f>$D77/4</f>
        <v>17.25</v>
      </c>
      <c r="BI77" s="349">
        <f>$F77/4</f>
        <v>46</v>
      </c>
      <c r="BJ77" s="348">
        <f>$D77/4</f>
        <v>17.25</v>
      </c>
      <c r="BK77" s="349">
        <f>$F77/4</f>
        <v>46</v>
      </c>
      <c r="BL77" s="348">
        <f t="shared" si="34"/>
        <v>69</v>
      </c>
      <c r="BM77" s="349">
        <f t="shared" si="35"/>
        <v>184</v>
      </c>
      <c r="BN77" s="348">
        <f>IF($D$65=3,$D77*2*3,$D77*3)</f>
        <v>207</v>
      </c>
      <c r="BO77" s="349">
        <f>IF($D$65=3,$F77*2*3,$F77*3)</f>
        <v>552</v>
      </c>
      <c r="BP77" s="348">
        <f t="shared" si="13"/>
        <v>69</v>
      </c>
      <c r="BQ77" s="349">
        <f t="shared" si="36"/>
        <v>184</v>
      </c>
      <c r="BR77" s="348">
        <f t="shared" si="37"/>
        <v>69</v>
      </c>
      <c r="BS77" s="349">
        <f t="shared" si="38"/>
        <v>184</v>
      </c>
      <c r="BT77" s="350">
        <f t="shared" si="50"/>
        <v>69</v>
      </c>
      <c r="BU77" s="349">
        <f t="shared" si="39"/>
        <v>184</v>
      </c>
      <c r="BV77" s="348">
        <f t="shared" si="40"/>
        <v>69</v>
      </c>
      <c r="BW77" s="349">
        <f t="shared" si="41"/>
        <v>184</v>
      </c>
      <c r="BX77" s="348">
        <f>IF($D$65=2,$D77*2*3/4,$D77*3/4)</f>
        <v>51.75</v>
      </c>
      <c r="BY77" s="349">
        <f>IF($D$65=2,$F77*2*3/4,$F77*3/4)</f>
        <v>138</v>
      </c>
      <c r="BZ77" s="350">
        <f>$D77</f>
        <v>69</v>
      </c>
      <c r="CA77" s="349">
        <f>$F77</f>
        <v>184</v>
      </c>
      <c r="CB77" s="348">
        <f>$D77*3</f>
        <v>207</v>
      </c>
      <c r="CC77" s="349">
        <f>$F77*3</f>
        <v>552</v>
      </c>
      <c r="CD77" s="348">
        <f>IF($D$65=3,$D77*2/4,$D77/4)</f>
        <v>17.25</v>
      </c>
      <c r="CE77" s="349">
        <f>IF($D$65=3,$F77*2/4,$F77/4)</f>
        <v>46</v>
      </c>
      <c r="CF77" s="348">
        <f t="shared" si="51"/>
        <v>69</v>
      </c>
      <c r="CG77" s="349">
        <f t="shared" si="42"/>
        <v>184</v>
      </c>
      <c r="CH77" s="350">
        <f>$D77</f>
        <v>69</v>
      </c>
      <c r="CI77" s="349">
        <f>$F77</f>
        <v>184</v>
      </c>
      <c r="CJ77" s="348">
        <f>IF($D$65=1,$D77*2*3,$D77*3)</f>
        <v>207</v>
      </c>
      <c r="CK77" s="349">
        <f>IF($D$65=1,$F77*2*3,$F77*3)</f>
        <v>552</v>
      </c>
      <c r="CL77" s="348">
        <f>IF($D$65=2,$D77*2/4,$D77/4)</f>
        <v>17.25</v>
      </c>
      <c r="CM77" s="349">
        <f>IF($D$65=2,$F77*2/4,$F77/4)</f>
        <v>46</v>
      </c>
      <c r="CN77" s="350">
        <f t="shared" si="14"/>
        <v>69</v>
      </c>
      <c r="CO77" s="349">
        <f t="shared" si="43"/>
        <v>184</v>
      </c>
      <c r="CP77" s="348">
        <f t="shared" si="14"/>
        <v>69</v>
      </c>
      <c r="CQ77" s="349">
        <f t="shared" si="44"/>
        <v>184</v>
      </c>
      <c r="CR77" s="348">
        <f t="shared" si="14"/>
        <v>69</v>
      </c>
      <c r="CS77" s="349">
        <f t="shared" si="45"/>
        <v>184</v>
      </c>
    </row>
    <row r="78" spans="1:97" hidden="1">
      <c r="A78" s="339" t="s">
        <v>215</v>
      </c>
      <c r="B78" s="239">
        <v>40</v>
      </c>
      <c r="C78" s="239">
        <v>50</v>
      </c>
      <c r="D78" s="344">
        <f t="shared" si="3"/>
        <v>92</v>
      </c>
      <c r="E78" s="345">
        <f t="shared" si="15"/>
        <v>103.5</v>
      </c>
      <c r="F78" s="347">
        <f t="shared" si="4"/>
        <v>114.99999999999999</v>
      </c>
      <c r="G78" s="72"/>
      <c r="H78" s="350">
        <f t="shared" si="5"/>
        <v>92</v>
      </c>
      <c r="I78" s="349">
        <f t="shared" si="16"/>
        <v>114.99999999999999</v>
      </c>
      <c r="J78" s="348">
        <f t="shared" si="6"/>
        <v>92</v>
      </c>
      <c r="K78" s="349">
        <f t="shared" si="16"/>
        <v>114.99999999999999</v>
      </c>
      <c r="L78" s="348">
        <f t="shared" si="7"/>
        <v>92</v>
      </c>
      <c r="M78" s="349">
        <f t="shared" si="17"/>
        <v>114.99999999999999</v>
      </c>
      <c r="N78" s="348">
        <f t="shared" si="8"/>
        <v>92</v>
      </c>
      <c r="O78" s="349">
        <f t="shared" si="18"/>
        <v>114.99999999999999</v>
      </c>
      <c r="P78" s="348">
        <f t="shared" si="9"/>
        <v>92</v>
      </c>
      <c r="Q78" s="349">
        <f t="shared" si="19"/>
        <v>114.99999999999999</v>
      </c>
      <c r="R78" s="348">
        <f t="shared" si="10"/>
        <v>92</v>
      </c>
      <c r="S78" s="349">
        <f t="shared" si="20"/>
        <v>114.99999999999999</v>
      </c>
      <c r="T78" s="348">
        <f t="shared" si="11"/>
        <v>92</v>
      </c>
      <c r="U78" s="349">
        <f t="shared" si="21"/>
        <v>114.99999999999999</v>
      </c>
      <c r="V78" s="348">
        <f t="shared" si="22"/>
        <v>92</v>
      </c>
      <c r="W78" s="349">
        <f t="shared" si="23"/>
        <v>114.99999999999999</v>
      </c>
      <c r="X78" s="348">
        <f t="shared" si="46"/>
        <v>92</v>
      </c>
      <c r="Y78" s="349">
        <f t="shared" si="24"/>
        <v>114.99999999999999</v>
      </c>
      <c r="Z78" s="348">
        <f t="shared" si="25"/>
        <v>46</v>
      </c>
      <c r="AA78" s="349">
        <f t="shared" si="12"/>
        <v>57.499999999999993</v>
      </c>
      <c r="AB78" s="348">
        <f>$D78/2/4</f>
        <v>11.5</v>
      </c>
      <c r="AC78" s="349">
        <f>$F78/2/4</f>
        <v>14.374999999999998</v>
      </c>
      <c r="AD78" s="348">
        <f>$D78*3</f>
        <v>276</v>
      </c>
      <c r="AE78" s="349">
        <f>$F78*3</f>
        <v>344.99999999999994</v>
      </c>
      <c r="AF78" s="348">
        <f t="shared" si="47"/>
        <v>92</v>
      </c>
      <c r="AG78" s="349">
        <f t="shared" si="26"/>
        <v>114.99999999999999</v>
      </c>
      <c r="AH78" s="348">
        <f t="shared" si="47"/>
        <v>92</v>
      </c>
      <c r="AI78" s="349">
        <f>IF($D$65=1,$F78*2,$F78)</f>
        <v>114.99999999999999</v>
      </c>
      <c r="AJ78" s="348">
        <f t="shared" si="27"/>
        <v>92</v>
      </c>
      <c r="AK78" s="349">
        <f t="shared" si="28"/>
        <v>114.99999999999999</v>
      </c>
      <c r="AL78" s="348">
        <f t="shared" si="48"/>
        <v>92</v>
      </c>
      <c r="AM78" s="349">
        <f t="shared" si="29"/>
        <v>114.99999999999999</v>
      </c>
      <c r="AN78" s="348">
        <f>$D78*3/4</f>
        <v>69</v>
      </c>
      <c r="AO78" s="349">
        <f>$F78*3/4</f>
        <v>86.249999999999986</v>
      </c>
      <c r="AP78" s="348">
        <f>IF($D$65=3,$D78*2/4,$D78/4)</f>
        <v>23</v>
      </c>
      <c r="AQ78" s="349">
        <f>IF($D$65=3,$F78*2/4,$F78/4)</f>
        <v>28.749999999999996</v>
      </c>
      <c r="AR78" s="348">
        <f>IF($D$65=3,$D78*2/4,$D78/4)</f>
        <v>23</v>
      </c>
      <c r="AS78" s="349">
        <f>IF($D$65=3,$F78*2/4,$F78/4)</f>
        <v>28.749999999999996</v>
      </c>
      <c r="AT78" s="348">
        <f t="shared" si="30"/>
        <v>92</v>
      </c>
      <c r="AU78" s="349">
        <f t="shared" si="31"/>
        <v>114.99999999999999</v>
      </c>
      <c r="AV78" s="348">
        <f>IF($D$65=4,$D78*2*3,$D78*3/2)</f>
        <v>138</v>
      </c>
      <c r="AW78" s="349">
        <f>IF($D$65=4,$F78*2*3,$F78*3/2)</f>
        <v>172.49999999999997</v>
      </c>
      <c r="AX78" s="348">
        <f>IF($D$65=4,$D78*2,$D78/2)</f>
        <v>46</v>
      </c>
      <c r="AY78" s="349">
        <f>IF($D$65=4,$F78*2,$F78/2)</f>
        <v>57.499999999999993</v>
      </c>
      <c r="AZ78" s="348">
        <f>IF($D$65=4,$D78*2/4,$D78/4/2)</f>
        <v>11.5</v>
      </c>
      <c r="BA78" s="349">
        <f>IF($D$65=4,$F78*2/4,$F78/4/2)</f>
        <v>14.374999999999998</v>
      </c>
      <c r="BB78" s="348">
        <f>IF($D$65=4,$D78*2/4,$D78/4/2)</f>
        <v>11.5</v>
      </c>
      <c r="BC78" s="349">
        <f>IF($D$65=4,$F78*2/4,$F78/4/2)</f>
        <v>14.374999999999998</v>
      </c>
      <c r="BD78" s="348">
        <f t="shared" si="32"/>
        <v>92</v>
      </c>
      <c r="BE78" s="349">
        <f t="shared" si="33"/>
        <v>114.99999999999999</v>
      </c>
      <c r="BF78" s="348">
        <f>IF($D$65=3,$D78*2/4,$D78/4)</f>
        <v>23</v>
      </c>
      <c r="BG78" s="349">
        <f>IF($D$65=3,$F78*2/4,$F78/4)</f>
        <v>28.749999999999996</v>
      </c>
      <c r="BH78" s="348">
        <f>$D78</f>
        <v>92</v>
      </c>
      <c r="BI78" s="349">
        <f>$F78</f>
        <v>114.99999999999999</v>
      </c>
      <c r="BJ78" s="348">
        <f>$D78/4</f>
        <v>23</v>
      </c>
      <c r="BK78" s="349">
        <f>$F78/4</f>
        <v>28.749999999999996</v>
      </c>
      <c r="BL78" s="348">
        <f t="shared" si="34"/>
        <v>92</v>
      </c>
      <c r="BM78" s="349">
        <f t="shared" si="35"/>
        <v>114.99999999999999</v>
      </c>
      <c r="BN78" s="348">
        <f>IF($D$65=3,$D78*2/4,$D78/4)</f>
        <v>23</v>
      </c>
      <c r="BO78" s="349">
        <f>IF($D$65=3,$F78*2/4,$F78/4)</f>
        <v>28.749999999999996</v>
      </c>
      <c r="BP78" s="348">
        <f t="shared" si="13"/>
        <v>92</v>
      </c>
      <c r="BQ78" s="349">
        <f t="shared" si="36"/>
        <v>114.99999999999999</v>
      </c>
      <c r="BR78" s="348">
        <f t="shared" si="37"/>
        <v>92</v>
      </c>
      <c r="BS78" s="349">
        <f t="shared" si="38"/>
        <v>114.99999999999999</v>
      </c>
      <c r="BT78" s="350">
        <f t="shared" si="50"/>
        <v>92</v>
      </c>
      <c r="BU78" s="349">
        <f t="shared" si="39"/>
        <v>114.99999999999999</v>
      </c>
      <c r="BV78" s="348">
        <f t="shared" si="40"/>
        <v>92</v>
      </c>
      <c r="BW78" s="349">
        <f t="shared" si="41"/>
        <v>114.99999999999999</v>
      </c>
      <c r="BX78" s="348">
        <f>IF($D$65=2,$D78*2/4,$D78/4)</f>
        <v>23</v>
      </c>
      <c r="BY78" s="349">
        <f>IF($D$65=2,$F78*2/4,$F78/4)</f>
        <v>28.749999999999996</v>
      </c>
      <c r="BZ78" s="350">
        <f>$D78*3</f>
        <v>276</v>
      </c>
      <c r="CA78" s="349">
        <f>$F78*3</f>
        <v>344.99999999999994</v>
      </c>
      <c r="CB78" s="348">
        <f>$D78/4</f>
        <v>23</v>
      </c>
      <c r="CC78" s="349">
        <f>$F78/4</f>
        <v>28.749999999999996</v>
      </c>
      <c r="CD78" s="348">
        <f>IF($D$65=3,$D78*2/4,$D78/4)</f>
        <v>23</v>
      </c>
      <c r="CE78" s="349">
        <f>IF($D$65=3,$F78*2/4,$F78/4)</f>
        <v>28.749999999999996</v>
      </c>
      <c r="CF78" s="348">
        <f t="shared" si="51"/>
        <v>92</v>
      </c>
      <c r="CG78" s="349">
        <f t="shared" si="42"/>
        <v>114.99999999999999</v>
      </c>
      <c r="CH78" s="350">
        <f>$D78*3</f>
        <v>276</v>
      </c>
      <c r="CI78" s="349">
        <f>$F78*3</f>
        <v>344.99999999999994</v>
      </c>
      <c r="CJ78" s="348">
        <f>IF($D$65=1,$D78*2/4,$D78/4)</f>
        <v>23</v>
      </c>
      <c r="CK78" s="349">
        <f>IF($D$65=1,$F78*2/4,$F78/4)</f>
        <v>28.749999999999996</v>
      </c>
      <c r="CL78" s="348">
        <f>IF($D$65=2,$D78*2/4,$D78/4)</f>
        <v>23</v>
      </c>
      <c r="CM78" s="349">
        <f>IF($D$65=2,$F78*2/4,$F78/4)</f>
        <v>28.749999999999996</v>
      </c>
      <c r="CN78" s="350">
        <f t="shared" si="14"/>
        <v>92</v>
      </c>
      <c r="CO78" s="349">
        <f t="shared" si="43"/>
        <v>114.99999999999999</v>
      </c>
      <c r="CP78" s="348">
        <f t="shared" si="14"/>
        <v>92</v>
      </c>
      <c r="CQ78" s="349">
        <f t="shared" si="44"/>
        <v>114.99999999999999</v>
      </c>
      <c r="CR78" s="348">
        <f t="shared" si="14"/>
        <v>92</v>
      </c>
      <c r="CS78" s="349">
        <f t="shared" si="45"/>
        <v>114.99999999999999</v>
      </c>
    </row>
    <row r="79" spans="1:97" hidden="1">
      <c r="A79" s="340" t="s">
        <v>202</v>
      </c>
      <c r="B79" s="239">
        <v>30</v>
      </c>
      <c r="C79" s="239">
        <v>70</v>
      </c>
      <c r="D79" s="344">
        <f t="shared" si="3"/>
        <v>69</v>
      </c>
      <c r="E79" s="345">
        <f t="shared" si="15"/>
        <v>115</v>
      </c>
      <c r="F79" s="347">
        <f t="shared" si="4"/>
        <v>161</v>
      </c>
      <c r="G79" s="72"/>
      <c r="H79" s="350">
        <f t="shared" si="5"/>
        <v>69</v>
      </c>
      <c r="I79" s="349">
        <f t="shared" si="16"/>
        <v>161</v>
      </c>
      <c r="J79" s="348">
        <f t="shared" si="6"/>
        <v>69</v>
      </c>
      <c r="K79" s="349">
        <f t="shared" si="16"/>
        <v>161</v>
      </c>
      <c r="L79" s="348">
        <f t="shared" si="7"/>
        <v>69</v>
      </c>
      <c r="M79" s="349">
        <f t="shared" si="17"/>
        <v>161</v>
      </c>
      <c r="N79" s="348">
        <f t="shared" si="8"/>
        <v>69</v>
      </c>
      <c r="O79" s="349">
        <f t="shared" si="18"/>
        <v>161</v>
      </c>
      <c r="P79" s="348">
        <f t="shared" si="9"/>
        <v>69</v>
      </c>
      <c r="Q79" s="349">
        <f t="shared" si="19"/>
        <v>161</v>
      </c>
      <c r="R79" s="348">
        <f t="shared" si="10"/>
        <v>69</v>
      </c>
      <c r="S79" s="349">
        <f t="shared" si="20"/>
        <v>161</v>
      </c>
      <c r="T79" s="348">
        <f t="shared" si="11"/>
        <v>69</v>
      </c>
      <c r="U79" s="349">
        <f t="shared" si="21"/>
        <v>161</v>
      </c>
      <c r="V79" s="348">
        <f t="shared" si="22"/>
        <v>69</v>
      </c>
      <c r="W79" s="349">
        <f t="shared" si="23"/>
        <v>161</v>
      </c>
      <c r="X79" s="348">
        <f t="shared" si="46"/>
        <v>69</v>
      </c>
      <c r="Y79" s="349">
        <f t="shared" si="24"/>
        <v>161</v>
      </c>
      <c r="Z79" s="348">
        <f t="shared" si="25"/>
        <v>34.5</v>
      </c>
      <c r="AA79" s="349">
        <f t="shared" si="12"/>
        <v>80.5</v>
      </c>
      <c r="AB79" s="348">
        <f>$D79/2*3</f>
        <v>103.5</v>
      </c>
      <c r="AC79" s="349">
        <f>$F79/2*3</f>
        <v>241.5</v>
      </c>
      <c r="AD79" s="348">
        <f>$D79/4</f>
        <v>17.25</v>
      </c>
      <c r="AE79" s="349">
        <f>$F79/4</f>
        <v>40.25</v>
      </c>
      <c r="AF79" s="348">
        <f t="shared" si="47"/>
        <v>69</v>
      </c>
      <c r="AG79" s="349">
        <f t="shared" si="26"/>
        <v>161</v>
      </c>
      <c r="AH79" s="348">
        <f>IF($D$65=1,$D79*2/4,$D79/4)</f>
        <v>17.25</v>
      </c>
      <c r="AI79" s="349">
        <f>IF($D$65=1,$F79*2/4,$F79/4)</f>
        <v>40.25</v>
      </c>
      <c r="AJ79" s="348">
        <f t="shared" si="27"/>
        <v>69</v>
      </c>
      <c r="AK79" s="349">
        <f t="shared" si="28"/>
        <v>161</v>
      </c>
      <c r="AL79" s="348">
        <f t="shared" si="48"/>
        <v>69</v>
      </c>
      <c r="AM79" s="349">
        <f t="shared" si="29"/>
        <v>161</v>
      </c>
      <c r="AN79" s="348">
        <f>$D79*3/4</f>
        <v>51.75</v>
      </c>
      <c r="AO79" s="349">
        <f>$F79*3/4</f>
        <v>120.75</v>
      </c>
      <c r="AP79" s="348">
        <f>IF($D$65=3,$D79*2,$D79)</f>
        <v>69</v>
      </c>
      <c r="AQ79" s="349">
        <f>IF($D$65=3,$F79*2,$F79)</f>
        <v>161</v>
      </c>
      <c r="AR79" s="348">
        <f>IF($D$65=3,$D79*2*3,$D79*3)</f>
        <v>207</v>
      </c>
      <c r="AS79" s="349">
        <f>IF($D$65=3,$F79*2*3,$F79*3)</f>
        <v>483</v>
      </c>
      <c r="AT79" s="348">
        <f t="shared" si="30"/>
        <v>69</v>
      </c>
      <c r="AU79" s="349">
        <f t="shared" si="31"/>
        <v>161</v>
      </c>
      <c r="AV79" s="348">
        <f>IF($D$65=4,$D79*2/4,$D79/4/2)</f>
        <v>8.625</v>
      </c>
      <c r="AW79" s="349">
        <f>IF($D$65=4,$F79*2/4,$F79/4/2)</f>
        <v>20.125</v>
      </c>
      <c r="AX79" s="348">
        <f>IF($D$65=4,$D79*2/4,$D79/4/2)</f>
        <v>8.625</v>
      </c>
      <c r="AY79" s="349">
        <f>IF($D$65=4,$F79*2/4,$F79/4/2)</f>
        <v>20.125</v>
      </c>
      <c r="AZ79" s="348">
        <f>IF($D$65=4,$D79*2*3,$D79*3/2)</f>
        <v>103.5</v>
      </c>
      <c r="BA79" s="349">
        <f>IF($D$65=4,$F79*2*3,$F79*3/2)</f>
        <v>241.5</v>
      </c>
      <c r="BB79" s="348">
        <f>IF($D$65=4,$D79*2,$D79/2)</f>
        <v>34.5</v>
      </c>
      <c r="BC79" s="349">
        <f>IF($D$65=4,$F79*2,$F79/2)</f>
        <v>80.5</v>
      </c>
      <c r="BD79" s="348">
        <f t="shared" si="32"/>
        <v>69</v>
      </c>
      <c r="BE79" s="349">
        <f t="shared" si="33"/>
        <v>161</v>
      </c>
      <c r="BF79" s="348">
        <f>IF($D$65=3,$D79*2*3,$D79*3)</f>
        <v>207</v>
      </c>
      <c r="BG79" s="349">
        <f>IF($D$65=3,$F79*2*3,$F79*3)</f>
        <v>483</v>
      </c>
      <c r="BH79" s="348">
        <f>$D79/4</f>
        <v>17.25</v>
      </c>
      <c r="BI79" s="349">
        <f>$F79/4</f>
        <v>40.25</v>
      </c>
      <c r="BJ79" s="348">
        <f>$D79*3</f>
        <v>207</v>
      </c>
      <c r="BK79" s="349">
        <f>$F79*3</f>
        <v>483</v>
      </c>
      <c r="BL79" s="348">
        <f t="shared" si="34"/>
        <v>69</v>
      </c>
      <c r="BM79" s="349">
        <f t="shared" si="35"/>
        <v>161</v>
      </c>
      <c r="BN79" s="348">
        <f>IF($D$65=3,$D79*2,$D79)</f>
        <v>69</v>
      </c>
      <c r="BO79" s="349">
        <f>IF($D$65=3,$F79*2,$F79)</f>
        <v>161</v>
      </c>
      <c r="BP79" s="348">
        <f t="shared" si="13"/>
        <v>69</v>
      </c>
      <c r="BQ79" s="349">
        <f t="shared" si="36"/>
        <v>161</v>
      </c>
      <c r="BR79" s="348">
        <f t="shared" si="37"/>
        <v>69</v>
      </c>
      <c r="BS79" s="349">
        <f t="shared" si="38"/>
        <v>161</v>
      </c>
      <c r="BT79" s="350">
        <f t="shared" si="50"/>
        <v>69</v>
      </c>
      <c r="BU79" s="349">
        <f t="shared" si="39"/>
        <v>161</v>
      </c>
      <c r="BV79" s="348">
        <f t="shared" si="40"/>
        <v>69</v>
      </c>
      <c r="BW79" s="349">
        <f t="shared" si="41"/>
        <v>161</v>
      </c>
      <c r="BX79" s="348">
        <f>IF($D$65=2,$D79*2/4,$D79/4)</f>
        <v>17.25</v>
      </c>
      <c r="BY79" s="349">
        <f>IF($D$65=2,$F79*2/4,$F79/4)</f>
        <v>40.25</v>
      </c>
      <c r="BZ79" s="350">
        <f>$D79/4</f>
        <v>17.25</v>
      </c>
      <c r="CA79" s="349">
        <f>$F79/4</f>
        <v>40.25</v>
      </c>
      <c r="CB79" s="348">
        <f>$D79</f>
        <v>69</v>
      </c>
      <c r="CC79" s="349">
        <f>$F79</f>
        <v>161</v>
      </c>
      <c r="CD79" s="348">
        <f>IF($D$65=3,$D79*2*3,$D79*3)</f>
        <v>207</v>
      </c>
      <c r="CE79" s="349">
        <f>IF($D$65=3,$F79*2*3,$F79*3)</f>
        <v>483</v>
      </c>
      <c r="CF79" s="348">
        <f t="shared" si="51"/>
        <v>69</v>
      </c>
      <c r="CG79" s="349">
        <f t="shared" si="42"/>
        <v>161</v>
      </c>
      <c r="CH79" s="350">
        <f>$D79/4</f>
        <v>17.25</v>
      </c>
      <c r="CI79" s="349">
        <f>$F79/4</f>
        <v>40.25</v>
      </c>
      <c r="CJ79" s="348">
        <f>IF($D$65=1,$D79*2,$D79)</f>
        <v>69</v>
      </c>
      <c r="CK79" s="349">
        <f>IF($D$65=1,$F79*2,$F79)</f>
        <v>161</v>
      </c>
      <c r="CL79" s="348">
        <f>IF($D$65=2,$D79*2*3,$D79*3)</f>
        <v>207</v>
      </c>
      <c r="CM79" s="349">
        <f>IF($D$65=2,$F79*2*3,$F79*3)</f>
        <v>483</v>
      </c>
      <c r="CN79" s="350">
        <f t="shared" si="14"/>
        <v>69</v>
      </c>
      <c r="CO79" s="349">
        <f t="shared" si="43"/>
        <v>161</v>
      </c>
      <c r="CP79" s="348">
        <f t="shared" si="14"/>
        <v>69</v>
      </c>
      <c r="CQ79" s="349">
        <f t="shared" si="44"/>
        <v>161</v>
      </c>
      <c r="CR79" s="348">
        <f t="shared" si="14"/>
        <v>69</v>
      </c>
      <c r="CS79" s="349">
        <f t="shared" si="45"/>
        <v>161</v>
      </c>
    </row>
    <row r="80" spans="1:97" hidden="1">
      <c r="A80" s="109" t="s">
        <v>524</v>
      </c>
      <c r="B80" s="239">
        <v>40</v>
      </c>
      <c r="C80" s="239">
        <v>60</v>
      </c>
      <c r="D80" s="344">
        <f t="shared" si="3"/>
        <v>92</v>
      </c>
      <c r="E80" s="345">
        <f t="shared" si="15"/>
        <v>115</v>
      </c>
      <c r="F80" s="347">
        <f t="shared" si="4"/>
        <v>138</v>
      </c>
      <c r="G80" s="72"/>
      <c r="H80" s="350">
        <f t="shared" si="5"/>
        <v>92</v>
      </c>
      <c r="I80" s="349">
        <f t="shared" si="16"/>
        <v>138</v>
      </c>
      <c r="J80" s="348">
        <f t="shared" si="6"/>
        <v>92</v>
      </c>
      <c r="K80" s="349">
        <f t="shared" si="16"/>
        <v>138</v>
      </c>
      <c r="L80" s="348">
        <f t="shared" si="7"/>
        <v>92</v>
      </c>
      <c r="M80" s="349">
        <f t="shared" si="17"/>
        <v>138</v>
      </c>
      <c r="N80" s="348">
        <f t="shared" si="8"/>
        <v>92</v>
      </c>
      <c r="O80" s="349">
        <f t="shared" si="18"/>
        <v>138</v>
      </c>
      <c r="P80" s="348">
        <f t="shared" si="9"/>
        <v>92</v>
      </c>
      <c r="Q80" s="349">
        <f t="shared" si="19"/>
        <v>138</v>
      </c>
      <c r="R80" s="348">
        <f t="shared" si="10"/>
        <v>92</v>
      </c>
      <c r="S80" s="349">
        <f t="shared" si="20"/>
        <v>138</v>
      </c>
      <c r="T80" s="348">
        <f t="shared" si="11"/>
        <v>92</v>
      </c>
      <c r="U80" s="349">
        <f t="shared" si="21"/>
        <v>138</v>
      </c>
      <c r="V80" s="348">
        <f t="shared" si="22"/>
        <v>92</v>
      </c>
      <c r="W80" s="349">
        <f t="shared" si="23"/>
        <v>138</v>
      </c>
      <c r="X80" s="348">
        <f t="shared" si="46"/>
        <v>92</v>
      </c>
      <c r="Y80" s="349">
        <f t="shared" si="24"/>
        <v>138</v>
      </c>
      <c r="Z80" s="348">
        <f t="shared" si="25"/>
        <v>46</v>
      </c>
      <c r="AA80" s="349">
        <f t="shared" si="12"/>
        <v>69</v>
      </c>
      <c r="AB80" s="348">
        <f>$D80/2</f>
        <v>46</v>
      </c>
      <c r="AC80" s="349">
        <f>$F80/2</f>
        <v>69</v>
      </c>
      <c r="AD80" s="348">
        <f>$D80/4</f>
        <v>23</v>
      </c>
      <c r="AE80" s="349">
        <f>$F80/4</f>
        <v>34.5</v>
      </c>
      <c r="AF80" s="348">
        <f t="shared" si="47"/>
        <v>92</v>
      </c>
      <c r="AG80" s="349">
        <f t="shared" si="26"/>
        <v>138</v>
      </c>
      <c r="AH80" s="348">
        <f>IF($D$65=1,$D80*2*3,$D80*3)</f>
        <v>276</v>
      </c>
      <c r="AI80" s="349">
        <f>IF($D$65=1,$F80*2*3,$F80*3)</f>
        <v>414</v>
      </c>
      <c r="AJ80" s="348">
        <f t="shared" si="27"/>
        <v>92</v>
      </c>
      <c r="AK80" s="349">
        <f t="shared" si="28"/>
        <v>138</v>
      </c>
      <c r="AL80" s="348">
        <f t="shared" si="48"/>
        <v>92</v>
      </c>
      <c r="AM80" s="349">
        <f t="shared" si="29"/>
        <v>138</v>
      </c>
      <c r="AN80" s="348">
        <f>$D80/4</f>
        <v>23</v>
      </c>
      <c r="AO80" s="349">
        <f>$F80/4</f>
        <v>34.5</v>
      </c>
      <c r="AP80" s="348">
        <f>IF($D$65=3,$D80*2/4,$D80/4)</f>
        <v>23</v>
      </c>
      <c r="AQ80" s="349">
        <f>IF($D$65=3,$F80*2/4,$F80/4)</f>
        <v>34.5</v>
      </c>
      <c r="AR80" s="348">
        <f>IF($D$65=3,$D80*2,$D80)</f>
        <v>92</v>
      </c>
      <c r="AS80" s="349">
        <f>IF($D$65=3,$F80*2,$F80)</f>
        <v>138</v>
      </c>
      <c r="AT80" s="348">
        <f t="shared" si="30"/>
        <v>92</v>
      </c>
      <c r="AU80" s="349">
        <f t="shared" si="31"/>
        <v>138</v>
      </c>
      <c r="AV80" s="348">
        <f>IF($D$65=4,$D80*2/4,$D80/4/2)</f>
        <v>11.5</v>
      </c>
      <c r="AW80" s="349">
        <f>IF($D$65=4,$F80*2/4,$F80/4/2)</f>
        <v>17.25</v>
      </c>
      <c r="AX80" s="348">
        <f>IF($D$65=4,$D80*2*3,$D80*3/2)</f>
        <v>138</v>
      </c>
      <c r="AY80" s="349">
        <f>IF($D$65=4,$F80*2*3,$F80*3/2)</f>
        <v>207</v>
      </c>
      <c r="AZ80" s="348">
        <f>IF($D$65=4,$D80*2,$D80/2)</f>
        <v>46</v>
      </c>
      <c r="BA80" s="349">
        <f>IF($D$65=4,$F80*2,$F80/2)</f>
        <v>69</v>
      </c>
      <c r="BB80" s="348">
        <f>IF($D$65=4,$D80*2/4,$D80/4/2)</f>
        <v>11.5</v>
      </c>
      <c r="BC80" s="349">
        <f>IF($D$65=4,$F80*2/4,$F80/4/2)</f>
        <v>17.25</v>
      </c>
      <c r="BD80" s="348">
        <f t="shared" si="32"/>
        <v>92</v>
      </c>
      <c r="BE80" s="349">
        <f t="shared" si="33"/>
        <v>138</v>
      </c>
      <c r="BF80" s="348">
        <f>IF($D$65=3,$D80*2,$D80)</f>
        <v>92</v>
      </c>
      <c r="BG80" s="349">
        <f>IF($D$65=3,$F80*2,$F80)</f>
        <v>138</v>
      </c>
      <c r="BH80" s="348">
        <f>$D80*3</f>
        <v>276</v>
      </c>
      <c r="BI80" s="349">
        <f>$F80*3</f>
        <v>414</v>
      </c>
      <c r="BJ80" s="348">
        <f>$D80</f>
        <v>92</v>
      </c>
      <c r="BK80" s="349">
        <f>$F80</f>
        <v>138</v>
      </c>
      <c r="BL80" s="348">
        <f t="shared" si="34"/>
        <v>92</v>
      </c>
      <c r="BM80" s="349">
        <f t="shared" si="35"/>
        <v>138</v>
      </c>
      <c r="BN80" s="348">
        <f>IF($D$65=3,$D80*2/4,$D80/4)</f>
        <v>23</v>
      </c>
      <c r="BO80" s="349">
        <f>IF($D$65=3,$F80*2/4,$F80/4)</f>
        <v>34.5</v>
      </c>
      <c r="BP80" s="348">
        <f t="shared" si="13"/>
        <v>92</v>
      </c>
      <c r="BQ80" s="349">
        <f t="shared" si="36"/>
        <v>138</v>
      </c>
      <c r="BR80" s="348">
        <f t="shared" si="37"/>
        <v>92</v>
      </c>
      <c r="BS80" s="349">
        <f t="shared" si="38"/>
        <v>138</v>
      </c>
      <c r="BT80" s="350">
        <f t="shared" si="50"/>
        <v>92</v>
      </c>
      <c r="BU80" s="349">
        <f t="shared" si="39"/>
        <v>138</v>
      </c>
      <c r="BV80" s="348">
        <f t="shared" si="40"/>
        <v>92</v>
      </c>
      <c r="BW80" s="349">
        <f t="shared" si="41"/>
        <v>138</v>
      </c>
      <c r="BX80" s="348">
        <f>IF($D$65=2,$D80*2*3/4,$D80*3/4)</f>
        <v>69</v>
      </c>
      <c r="BY80" s="349">
        <f>IF($D$65=2,$F80*2*3/4,$F80*3/4)</f>
        <v>103.5</v>
      </c>
      <c r="BZ80" s="350">
        <f>$D80/4</f>
        <v>23</v>
      </c>
      <c r="CA80" s="349">
        <f>$F80/4</f>
        <v>34.5</v>
      </c>
      <c r="CB80" s="348">
        <f>$D80/4</f>
        <v>23</v>
      </c>
      <c r="CC80" s="349">
        <f>$F80/4</f>
        <v>34.5</v>
      </c>
      <c r="CD80" s="348">
        <f>IF($D$65=3,$D80*2,$D80)</f>
        <v>92</v>
      </c>
      <c r="CE80" s="349">
        <f>IF($D$65=3,$F80*2,$F80)</f>
        <v>138</v>
      </c>
      <c r="CF80" s="348">
        <f t="shared" si="51"/>
        <v>92</v>
      </c>
      <c r="CG80" s="349">
        <f t="shared" si="42"/>
        <v>138</v>
      </c>
      <c r="CH80" s="350">
        <f>$D80/4</f>
        <v>23</v>
      </c>
      <c r="CI80" s="349">
        <f>$F80/4</f>
        <v>34.5</v>
      </c>
      <c r="CJ80" s="348">
        <f>IF($D$65=1,$D80*2/4,$D80/4)</f>
        <v>23</v>
      </c>
      <c r="CK80" s="349">
        <f>IF($D$65=1,$F80*2/4,$F80/4)</f>
        <v>34.5</v>
      </c>
      <c r="CL80" s="348">
        <f>IF($D$65=2,$D80*2,$D80)</f>
        <v>92</v>
      </c>
      <c r="CM80" s="349">
        <f>IF($D$65=2,$F80*2,$F80)</f>
        <v>138</v>
      </c>
      <c r="CN80" s="350">
        <f t="shared" si="14"/>
        <v>92</v>
      </c>
      <c r="CO80" s="349">
        <f t="shared" si="43"/>
        <v>138</v>
      </c>
      <c r="CP80" s="348">
        <f t="shared" si="14"/>
        <v>92</v>
      </c>
      <c r="CQ80" s="349">
        <f t="shared" si="44"/>
        <v>138</v>
      </c>
      <c r="CR80" s="348">
        <f t="shared" si="14"/>
        <v>92</v>
      </c>
      <c r="CS80" s="349">
        <f t="shared" si="45"/>
        <v>138</v>
      </c>
    </row>
    <row r="81" spans="1:97" hidden="1">
      <c r="A81" s="25" t="s">
        <v>137</v>
      </c>
      <c r="B81" s="239">
        <v>50</v>
      </c>
      <c r="C81" s="239">
        <v>60</v>
      </c>
      <c r="D81" s="344">
        <f t="shared" si="3"/>
        <v>115</v>
      </c>
      <c r="E81" s="345">
        <f t="shared" si="15"/>
        <v>126.5</v>
      </c>
      <c r="F81" s="347">
        <f t="shared" si="4"/>
        <v>138</v>
      </c>
      <c r="G81" s="72"/>
      <c r="H81" s="350">
        <f t="shared" si="5"/>
        <v>115</v>
      </c>
      <c r="I81" s="349">
        <f t="shared" si="16"/>
        <v>138</v>
      </c>
      <c r="J81" s="348">
        <f t="shared" si="6"/>
        <v>115</v>
      </c>
      <c r="K81" s="349">
        <f t="shared" si="16"/>
        <v>138</v>
      </c>
      <c r="L81" s="348">
        <f t="shared" si="7"/>
        <v>115</v>
      </c>
      <c r="M81" s="349">
        <f t="shared" si="17"/>
        <v>138</v>
      </c>
      <c r="N81" s="348">
        <f t="shared" si="8"/>
        <v>115</v>
      </c>
      <c r="O81" s="349">
        <f t="shared" si="18"/>
        <v>138</v>
      </c>
      <c r="P81" s="348">
        <f t="shared" si="9"/>
        <v>115</v>
      </c>
      <c r="Q81" s="349">
        <f t="shared" si="19"/>
        <v>138</v>
      </c>
      <c r="R81" s="348">
        <f t="shared" si="10"/>
        <v>115</v>
      </c>
      <c r="S81" s="349">
        <f t="shared" si="20"/>
        <v>138</v>
      </c>
      <c r="T81" s="348">
        <f t="shared" si="11"/>
        <v>115</v>
      </c>
      <c r="U81" s="349">
        <f t="shared" si="21"/>
        <v>138</v>
      </c>
      <c r="V81" s="348">
        <f t="shared" si="22"/>
        <v>115</v>
      </c>
      <c r="W81" s="349">
        <f t="shared" si="23"/>
        <v>138</v>
      </c>
      <c r="X81" s="348">
        <f t="shared" si="46"/>
        <v>115</v>
      </c>
      <c r="Y81" s="349">
        <f t="shared" si="24"/>
        <v>138</v>
      </c>
      <c r="Z81" s="348">
        <f t="shared" si="25"/>
        <v>57.5</v>
      </c>
      <c r="AA81" s="349">
        <f t="shared" si="12"/>
        <v>69</v>
      </c>
      <c r="AB81" s="348">
        <f>$D81/2</f>
        <v>57.5</v>
      </c>
      <c r="AC81" s="349">
        <f>$F81/2</f>
        <v>69</v>
      </c>
      <c r="AD81" s="348">
        <f>$D81</f>
        <v>115</v>
      </c>
      <c r="AE81" s="349">
        <f>$F81</f>
        <v>138</v>
      </c>
      <c r="AF81" s="348">
        <f t="shared" si="47"/>
        <v>115</v>
      </c>
      <c r="AG81" s="349">
        <f t="shared" si="26"/>
        <v>138</v>
      </c>
      <c r="AH81" s="348">
        <f t="shared" si="47"/>
        <v>115</v>
      </c>
      <c r="AI81" s="349">
        <f>IF($D$65=1,$F81*2,$F81)</f>
        <v>138</v>
      </c>
      <c r="AJ81" s="348">
        <f t="shared" si="27"/>
        <v>115</v>
      </c>
      <c r="AK81" s="349">
        <f t="shared" si="28"/>
        <v>138</v>
      </c>
      <c r="AL81" s="348">
        <f t="shared" si="48"/>
        <v>115</v>
      </c>
      <c r="AM81" s="349">
        <f t="shared" si="29"/>
        <v>138</v>
      </c>
      <c r="AN81" s="348">
        <f>$D81</f>
        <v>115</v>
      </c>
      <c r="AO81" s="349">
        <f>$F81</f>
        <v>138</v>
      </c>
      <c r="AP81" s="348">
        <f>IF($D$65=3,$D81*2,$D81)</f>
        <v>115</v>
      </c>
      <c r="AQ81" s="349">
        <f>IF($D$65=3,$F81*2,$F81)</f>
        <v>138</v>
      </c>
      <c r="AR81" s="348">
        <f>IF($D$65=3,$D81*2,$D81)</f>
        <v>115</v>
      </c>
      <c r="AS81" s="349">
        <f>IF($D$65=3,$F81*2,$F81)</f>
        <v>138</v>
      </c>
      <c r="AT81" s="348">
        <f t="shared" si="30"/>
        <v>115</v>
      </c>
      <c r="AU81" s="349">
        <f t="shared" si="31"/>
        <v>138</v>
      </c>
      <c r="AV81" s="348">
        <f>IF($D$65=4,$D81*2,$D81/2)</f>
        <v>57.5</v>
      </c>
      <c r="AW81" s="349">
        <f>IF($D$65=4,$F81*2,$F81/2)</f>
        <v>69</v>
      </c>
      <c r="AX81" s="348">
        <f t="shared" ref="AX81:BB82" si="53">IF($D$65=4,$D81*2,$D81/2)</f>
        <v>57.5</v>
      </c>
      <c r="AY81" s="349">
        <f>IF($D$65=4,$F81*2,$F81/2)</f>
        <v>69</v>
      </c>
      <c r="AZ81" s="348">
        <f t="shared" si="53"/>
        <v>57.5</v>
      </c>
      <c r="BA81" s="349">
        <f>IF($D$65=4,$F81*2,$F81/2)</f>
        <v>69</v>
      </c>
      <c r="BB81" s="348">
        <f t="shared" si="53"/>
        <v>57.5</v>
      </c>
      <c r="BC81" s="349">
        <f>IF($D$65=4,$F81*2,$F81/2)</f>
        <v>69</v>
      </c>
      <c r="BD81" s="348">
        <f t="shared" si="32"/>
        <v>115</v>
      </c>
      <c r="BE81" s="349">
        <f t="shared" si="33"/>
        <v>138</v>
      </c>
      <c r="BF81" s="348">
        <f>IF($D$65=3,$D81*2,$D81)</f>
        <v>115</v>
      </c>
      <c r="BG81" s="349">
        <f>IF($D$65=3,$F81*2,$F81)</f>
        <v>138</v>
      </c>
      <c r="BH81" s="348">
        <f>$D81</f>
        <v>115</v>
      </c>
      <c r="BI81" s="349">
        <f>$F81</f>
        <v>138</v>
      </c>
      <c r="BJ81" s="348">
        <f>$D81</f>
        <v>115</v>
      </c>
      <c r="BK81" s="349">
        <f>$F81</f>
        <v>138</v>
      </c>
      <c r="BL81" s="348">
        <f t="shared" si="34"/>
        <v>115</v>
      </c>
      <c r="BM81" s="349">
        <f t="shared" si="35"/>
        <v>138</v>
      </c>
      <c r="BN81" s="348">
        <f>IF($D$65=3,$D81*2,$D81)</f>
        <v>115</v>
      </c>
      <c r="BO81" s="349">
        <f>IF($D$65=3,$F81*2,$F81)</f>
        <v>138</v>
      </c>
      <c r="BP81" s="348">
        <f t="shared" si="13"/>
        <v>115</v>
      </c>
      <c r="BQ81" s="349">
        <f t="shared" si="36"/>
        <v>138</v>
      </c>
      <c r="BR81" s="348">
        <f t="shared" si="37"/>
        <v>115</v>
      </c>
      <c r="BS81" s="349">
        <f t="shared" si="38"/>
        <v>138</v>
      </c>
      <c r="BT81" s="350">
        <f t="shared" si="50"/>
        <v>115</v>
      </c>
      <c r="BU81" s="349">
        <f t="shared" si="39"/>
        <v>138</v>
      </c>
      <c r="BV81" s="348">
        <f t="shared" si="40"/>
        <v>115</v>
      </c>
      <c r="BW81" s="349">
        <f t="shared" si="41"/>
        <v>138</v>
      </c>
      <c r="BX81" s="348">
        <f>IF($D$65=2,$D81*2,$D81)</f>
        <v>115</v>
      </c>
      <c r="BY81" s="349">
        <f>IF($D$65=2,$F81*2,$F81)</f>
        <v>138</v>
      </c>
      <c r="BZ81" s="350">
        <f>$D81</f>
        <v>115</v>
      </c>
      <c r="CA81" s="349">
        <f>$F81</f>
        <v>138</v>
      </c>
      <c r="CB81" s="348">
        <f>$D81</f>
        <v>115</v>
      </c>
      <c r="CC81" s="349">
        <f>$F81</f>
        <v>138</v>
      </c>
      <c r="CD81" s="348">
        <f>IF($D$65=3,$D81*2,$D81)</f>
        <v>115</v>
      </c>
      <c r="CE81" s="349">
        <f>IF($D$65=3,$F81*2,$F81)</f>
        <v>138</v>
      </c>
      <c r="CF81" s="348">
        <f t="shared" si="51"/>
        <v>115</v>
      </c>
      <c r="CG81" s="349">
        <f t="shared" si="42"/>
        <v>138</v>
      </c>
      <c r="CH81" s="350">
        <f>$D81</f>
        <v>115</v>
      </c>
      <c r="CI81" s="349">
        <f>$F81</f>
        <v>138</v>
      </c>
      <c r="CJ81" s="348">
        <f>IF($D$65=1,$D81*2,$D81)</f>
        <v>115</v>
      </c>
      <c r="CK81" s="349">
        <f>IF($D$65=1,$F81*2,$F81)</f>
        <v>138</v>
      </c>
      <c r="CL81" s="348">
        <f>IF($D$65=2,$D81*2,$D81)</f>
        <v>115</v>
      </c>
      <c r="CM81" s="349">
        <f>IF($D$65=2,$F81*2,$F81)</f>
        <v>138</v>
      </c>
      <c r="CN81" s="350">
        <f t="shared" si="14"/>
        <v>115</v>
      </c>
      <c r="CO81" s="349">
        <f t="shared" si="43"/>
        <v>138</v>
      </c>
      <c r="CP81" s="348">
        <f t="shared" si="14"/>
        <v>115</v>
      </c>
      <c r="CQ81" s="349">
        <f t="shared" si="44"/>
        <v>138</v>
      </c>
      <c r="CR81" s="348">
        <f t="shared" si="14"/>
        <v>115</v>
      </c>
      <c r="CS81" s="349">
        <f t="shared" si="45"/>
        <v>138</v>
      </c>
    </row>
    <row r="82" spans="1:97" hidden="1">
      <c r="A82" s="29" t="s">
        <v>221</v>
      </c>
      <c r="B82" s="326">
        <v>20</v>
      </c>
      <c r="C82" s="326">
        <v>70</v>
      </c>
      <c r="D82" s="351">
        <f t="shared" si="3"/>
        <v>46</v>
      </c>
      <c r="E82" s="352">
        <f t="shared" si="15"/>
        <v>103.5</v>
      </c>
      <c r="F82" s="353">
        <f t="shared" si="4"/>
        <v>161</v>
      </c>
      <c r="G82" s="75"/>
      <c r="H82" s="354">
        <f t="shared" si="5"/>
        <v>46</v>
      </c>
      <c r="I82" s="355">
        <f t="shared" si="16"/>
        <v>161</v>
      </c>
      <c r="J82" s="356">
        <f t="shared" si="6"/>
        <v>46</v>
      </c>
      <c r="K82" s="355">
        <f t="shared" si="16"/>
        <v>161</v>
      </c>
      <c r="L82" s="356">
        <f t="shared" si="7"/>
        <v>46</v>
      </c>
      <c r="M82" s="355">
        <f t="shared" si="17"/>
        <v>161</v>
      </c>
      <c r="N82" s="356">
        <f t="shared" si="8"/>
        <v>46</v>
      </c>
      <c r="O82" s="355">
        <f t="shared" si="18"/>
        <v>161</v>
      </c>
      <c r="P82" s="356">
        <f t="shared" si="9"/>
        <v>46</v>
      </c>
      <c r="Q82" s="355">
        <f t="shared" si="19"/>
        <v>161</v>
      </c>
      <c r="R82" s="356">
        <f t="shared" si="10"/>
        <v>46</v>
      </c>
      <c r="S82" s="355">
        <f t="shared" si="20"/>
        <v>161</v>
      </c>
      <c r="T82" s="356">
        <f t="shared" si="11"/>
        <v>46</v>
      </c>
      <c r="U82" s="355">
        <f t="shared" si="21"/>
        <v>161</v>
      </c>
      <c r="V82" s="356">
        <f t="shared" si="22"/>
        <v>46</v>
      </c>
      <c r="W82" s="355">
        <f t="shared" si="23"/>
        <v>161</v>
      </c>
      <c r="X82" s="356">
        <f t="shared" si="46"/>
        <v>46</v>
      </c>
      <c r="Y82" s="355">
        <f t="shared" si="24"/>
        <v>161</v>
      </c>
      <c r="Z82" s="356">
        <f t="shared" si="25"/>
        <v>23</v>
      </c>
      <c r="AA82" s="355">
        <f t="shared" si="12"/>
        <v>80.5</v>
      </c>
      <c r="AB82" s="356">
        <f>$D82/2</f>
        <v>23</v>
      </c>
      <c r="AC82" s="355">
        <f>$F82/2</f>
        <v>80.5</v>
      </c>
      <c r="AD82" s="356">
        <f>$D82</f>
        <v>46</v>
      </c>
      <c r="AE82" s="355">
        <f>$F82</f>
        <v>161</v>
      </c>
      <c r="AF82" s="356">
        <f t="shared" si="47"/>
        <v>46</v>
      </c>
      <c r="AG82" s="355">
        <f t="shared" si="26"/>
        <v>161</v>
      </c>
      <c r="AH82" s="356">
        <f t="shared" si="47"/>
        <v>46</v>
      </c>
      <c r="AI82" s="355">
        <f>IF($D$65=1,$F82*2,$F82)</f>
        <v>161</v>
      </c>
      <c r="AJ82" s="356">
        <f t="shared" si="27"/>
        <v>46</v>
      </c>
      <c r="AK82" s="355">
        <f t="shared" si="28"/>
        <v>161</v>
      </c>
      <c r="AL82" s="356">
        <f t="shared" si="48"/>
        <v>46</v>
      </c>
      <c r="AM82" s="355">
        <f t="shared" si="29"/>
        <v>161</v>
      </c>
      <c r="AN82" s="356">
        <f>$D82</f>
        <v>46</v>
      </c>
      <c r="AO82" s="355">
        <f>$F82</f>
        <v>161</v>
      </c>
      <c r="AP82" s="356">
        <f>IF($D$65=3,$D82*2,$D82)</f>
        <v>46</v>
      </c>
      <c r="AQ82" s="355">
        <f>IF($D$65=3,$F82*2,$F82)</f>
        <v>161</v>
      </c>
      <c r="AR82" s="356">
        <f>IF($D$65=3,$D82*2,$D82)</f>
        <v>46</v>
      </c>
      <c r="AS82" s="355">
        <f>IF($D$65=3,$F82*2,$F82)</f>
        <v>161</v>
      </c>
      <c r="AT82" s="356">
        <f t="shared" si="30"/>
        <v>46</v>
      </c>
      <c r="AU82" s="355">
        <f t="shared" si="31"/>
        <v>161</v>
      </c>
      <c r="AV82" s="356">
        <f>IF($D$65=4,$D82*2,$D82/2)</f>
        <v>23</v>
      </c>
      <c r="AW82" s="355">
        <f>IF($D$65=4,$F82*2,$F82/2)</f>
        <v>80.5</v>
      </c>
      <c r="AX82" s="356">
        <f t="shared" si="53"/>
        <v>23</v>
      </c>
      <c r="AY82" s="355">
        <f>IF($D$65=4,$F82*2,$F82/2)</f>
        <v>80.5</v>
      </c>
      <c r="AZ82" s="356">
        <f t="shared" si="53"/>
        <v>23</v>
      </c>
      <c r="BA82" s="355">
        <f>IF($D$65=4,$F82*2,$F82/2)</f>
        <v>80.5</v>
      </c>
      <c r="BB82" s="356">
        <f t="shared" si="53"/>
        <v>23</v>
      </c>
      <c r="BC82" s="355">
        <f>IF($D$65=4,$F82*2,$F82/2)</f>
        <v>80.5</v>
      </c>
      <c r="BD82" s="356">
        <f t="shared" si="32"/>
        <v>46</v>
      </c>
      <c r="BE82" s="355">
        <f t="shared" si="33"/>
        <v>161</v>
      </c>
      <c r="BF82" s="356">
        <f>IF($D$65=3,$D82*2,$D82)</f>
        <v>46</v>
      </c>
      <c r="BG82" s="355">
        <f>IF($D$65=3,$F82*2,$F82)</f>
        <v>161</v>
      </c>
      <c r="BH82" s="356">
        <f>$D82</f>
        <v>46</v>
      </c>
      <c r="BI82" s="355">
        <f>$F82</f>
        <v>161</v>
      </c>
      <c r="BJ82" s="356">
        <f>$D82</f>
        <v>46</v>
      </c>
      <c r="BK82" s="355">
        <f>$F82</f>
        <v>161</v>
      </c>
      <c r="BL82" s="356">
        <f t="shared" si="34"/>
        <v>46</v>
      </c>
      <c r="BM82" s="355">
        <f t="shared" si="35"/>
        <v>161</v>
      </c>
      <c r="BN82" s="356">
        <f>IF($D$65=3,$D82*2,$D82)</f>
        <v>46</v>
      </c>
      <c r="BO82" s="355">
        <f>IF($D$65=3,$F82*2,$F82)</f>
        <v>161</v>
      </c>
      <c r="BP82" s="356">
        <f t="shared" si="13"/>
        <v>46</v>
      </c>
      <c r="BQ82" s="355">
        <f t="shared" si="36"/>
        <v>161</v>
      </c>
      <c r="BR82" s="356">
        <f t="shared" si="37"/>
        <v>46</v>
      </c>
      <c r="BS82" s="355">
        <f t="shared" si="38"/>
        <v>161</v>
      </c>
      <c r="BT82" s="354">
        <f t="shared" si="50"/>
        <v>46</v>
      </c>
      <c r="BU82" s="355">
        <f t="shared" si="39"/>
        <v>161</v>
      </c>
      <c r="BV82" s="356">
        <f t="shared" si="40"/>
        <v>46</v>
      </c>
      <c r="BW82" s="355">
        <f t="shared" si="41"/>
        <v>161</v>
      </c>
      <c r="BX82" s="356">
        <f>IF($D$65=2,$D82*2,$D82)</f>
        <v>46</v>
      </c>
      <c r="BY82" s="355">
        <f>IF($D$65=2,$F82*2,$F82)</f>
        <v>161</v>
      </c>
      <c r="BZ82" s="354">
        <f>$D82</f>
        <v>46</v>
      </c>
      <c r="CA82" s="355">
        <f>$F82</f>
        <v>161</v>
      </c>
      <c r="CB82" s="356">
        <f>$D82</f>
        <v>46</v>
      </c>
      <c r="CC82" s="355">
        <f>$F82</f>
        <v>161</v>
      </c>
      <c r="CD82" s="356">
        <f>IF($D$65=3,$D82*2,$D82)</f>
        <v>46</v>
      </c>
      <c r="CE82" s="355">
        <f>IF($D$65=3,$F82*2,$F82)</f>
        <v>161</v>
      </c>
      <c r="CF82" s="356">
        <f t="shared" si="51"/>
        <v>46</v>
      </c>
      <c r="CG82" s="355">
        <f t="shared" si="42"/>
        <v>161</v>
      </c>
      <c r="CH82" s="354">
        <f>$D82</f>
        <v>46</v>
      </c>
      <c r="CI82" s="355">
        <f>$F82</f>
        <v>161</v>
      </c>
      <c r="CJ82" s="356">
        <f>IF($D$65=1,$D82*2,$D82)</f>
        <v>46</v>
      </c>
      <c r="CK82" s="355">
        <f>IF($D$65=1,$F82*2,$F82)</f>
        <v>161</v>
      </c>
      <c r="CL82" s="356">
        <f>IF($D$65=2,$D82*2,$D82)</f>
        <v>46</v>
      </c>
      <c r="CM82" s="355">
        <f>IF($D$65=2,$F82*2,$F82)</f>
        <v>161</v>
      </c>
      <c r="CN82" s="354">
        <f t="shared" si="14"/>
        <v>46</v>
      </c>
      <c r="CO82" s="355">
        <f t="shared" si="43"/>
        <v>161</v>
      </c>
      <c r="CP82" s="356">
        <f t="shared" si="14"/>
        <v>46</v>
      </c>
      <c r="CQ82" s="355">
        <f t="shared" si="44"/>
        <v>161</v>
      </c>
      <c r="CR82" s="356">
        <f t="shared" si="14"/>
        <v>46</v>
      </c>
      <c r="CS82" s="355">
        <f t="shared" si="45"/>
        <v>161</v>
      </c>
    </row>
    <row r="83" spans="1:97" hidden="1">
      <c r="A83" s="107" t="s">
        <v>251</v>
      </c>
      <c r="B83" s="239">
        <v>160</v>
      </c>
      <c r="C83" s="239">
        <v>240</v>
      </c>
      <c r="D83" s="344">
        <f t="shared" si="3"/>
        <v>368</v>
      </c>
      <c r="E83" s="345">
        <f t="shared" si="15"/>
        <v>460</v>
      </c>
      <c r="F83" s="347">
        <f t="shared" si="4"/>
        <v>552</v>
      </c>
      <c r="G83" s="72"/>
      <c r="H83" s="350">
        <f t="shared" si="5"/>
        <v>368</v>
      </c>
      <c r="I83" s="349">
        <f t="shared" si="16"/>
        <v>552</v>
      </c>
      <c r="J83" s="348">
        <f t="shared" si="6"/>
        <v>368</v>
      </c>
      <c r="K83" s="349">
        <f t="shared" si="16"/>
        <v>552</v>
      </c>
      <c r="L83" s="348">
        <f t="shared" si="7"/>
        <v>368</v>
      </c>
      <c r="M83" s="349">
        <f t="shared" si="17"/>
        <v>552</v>
      </c>
      <c r="N83" s="348">
        <f t="shared" si="8"/>
        <v>368</v>
      </c>
      <c r="O83" s="349">
        <f t="shared" si="18"/>
        <v>552</v>
      </c>
      <c r="P83" s="348">
        <f t="shared" si="9"/>
        <v>368</v>
      </c>
      <c r="Q83" s="349">
        <f t="shared" si="19"/>
        <v>552</v>
      </c>
      <c r="R83" s="348">
        <f t="shared" si="10"/>
        <v>368</v>
      </c>
      <c r="S83" s="349">
        <f t="shared" si="20"/>
        <v>552</v>
      </c>
      <c r="T83" s="348">
        <f t="shared" si="11"/>
        <v>368</v>
      </c>
      <c r="U83" s="349">
        <f t="shared" si="21"/>
        <v>552</v>
      </c>
      <c r="V83" s="348">
        <f t="shared" si="22"/>
        <v>368</v>
      </c>
      <c r="W83" s="349">
        <f t="shared" si="23"/>
        <v>552</v>
      </c>
      <c r="X83" s="348">
        <f t="shared" si="46"/>
        <v>368</v>
      </c>
      <c r="Y83" s="349">
        <f t="shared" si="24"/>
        <v>552</v>
      </c>
      <c r="Z83" s="348">
        <f t="shared" si="25"/>
        <v>184</v>
      </c>
      <c r="AA83" s="349">
        <f t="shared" si="12"/>
        <v>276</v>
      </c>
      <c r="AB83" s="348">
        <f>$D83/2/4</f>
        <v>46</v>
      </c>
      <c r="AC83" s="349">
        <f>$F83/2/4</f>
        <v>69</v>
      </c>
      <c r="AD83" s="348">
        <f>$D83</f>
        <v>368</v>
      </c>
      <c r="AE83" s="349">
        <f>$F83</f>
        <v>552</v>
      </c>
      <c r="AF83" s="348">
        <f t="shared" si="47"/>
        <v>368</v>
      </c>
      <c r="AG83" s="349">
        <f t="shared" si="26"/>
        <v>552</v>
      </c>
      <c r="AH83" s="348">
        <f>IF($D$65=1,$D83*2/4,$D83/4)</f>
        <v>92</v>
      </c>
      <c r="AI83" s="349">
        <f>IF($D$65=1,$F83*2/4,$F83/4)</f>
        <v>138</v>
      </c>
      <c r="AJ83" s="348">
        <f t="shared" si="27"/>
        <v>368</v>
      </c>
      <c r="AK83" s="349">
        <f t="shared" si="28"/>
        <v>552</v>
      </c>
      <c r="AL83" s="348">
        <f t="shared" si="48"/>
        <v>368</v>
      </c>
      <c r="AM83" s="349">
        <f t="shared" si="29"/>
        <v>552</v>
      </c>
      <c r="AN83" s="348">
        <f>$D83/4</f>
        <v>92</v>
      </c>
      <c r="AO83" s="349">
        <f>$F83/4</f>
        <v>138</v>
      </c>
      <c r="AP83" s="348">
        <f>IF($D$65=3,$D83*2*3,$D83*3)</f>
        <v>1104</v>
      </c>
      <c r="AQ83" s="349">
        <f>IF($D$65=3,$F83*2*3,$F83*3)</f>
        <v>1656</v>
      </c>
      <c r="AR83" s="348">
        <f>IF($D$65=3,$D83*2/4,$D83/4)</f>
        <v>92</v>
      </c>
      <c r="AS83" s="349">
        <f>IF($D$65=3,$F83*2/4,$F83/4)</f>
        <v>138</v>
      </c>
      <c r="AT83" s="348">
        <f t="shared" si="30"/>
        <v>368</v>
      </c>
      <c r="AU83" s="349">
        <f t="shared" si="31"/>
        <v>552</v>
      </c>
      <c r="AV83" s="348">
        <f>IF($D$65=4,$D83*2,$D83/2)</f>
        <v>184</v>
      </c>
      <c r="AW83" s="349">
        <f>IF($D$65=4,$F83*2,$F83/2)</f>
        <v>276</v>
      </c>
      <c r="AX83" s="348">
        <f>IF($D$65=4,$D83*2/4,$D83/4/2)</f>
        <v>46</v>
      </c>
      <c r="AY83" s="349">
        <f>IF($D$65=4,$F83*2/4,$F83/4/2)</f>
        <v>69</v>
      </c>
      <c r="AZ83" s="348">
        <f>IF($D$65=4,$D83*2/4,$D83/4/2)</f>
        <v>46</v>
      </c>
      <c r="BA83" s="349">
        <f>IF($D$65=4,$F83*2/4,$F83/4/2)</f>
        <v>69</v>
      </c>
      <c r="BB83" s="348">
        <f>IF($D$65=4,$D83*2*3,$D83*3/2)</f>
        <v>552</v>
      </c>
      <c r="BC83" s="349">
        <f>IF($D$65=4,$F83*2*3,$F83*3/2)</f>
        <v>828</v>
      </c>
      <c r="BD83" s="348">
        <f t="shared" si="32"/>
        <v>368</v>
      </c>
      <c r="BE83" s="349">
        <f t="shared" si="33"/>
        <v>552</v>
      </c>
      <c r="BF83" s="348">
        <f>IF($D$65=3,$D83*2/4,$D83/4)</f>
        <v>92</v>
      </c>
      <c r="BG83" s="349">
        <f>IF($D$65=3,$F83*2/4,$F83/4)</f>
        <v>138</v>
      </c>
      <c r="BH83" s="348">
        <f>$D83/4</f>
        <v>92</v>
      </c>
      <c r="BI83" s="349">
        <f>$F83/4</f>
        <v>138</v>
      </c>
      <c r="BJ83" s="348">
        <f>$D83/4</f>
        <v>92</v>
      </c>
      <c r="BK83" s="349">
        <f>$F83/4</f>
        <v>138</v>
      </c>
      <c r="BL83" s="348">
        <f t="shared" si="34"/>
        <v>368</v>
      </c>
      <c r="BM83" s="349">
        <f t="shared" si="35"/>
        <v>552</v>
      </c>
      <c r="BN83" s="348">
        <f>IF($D$65=3,$D83*2*3,$D83*3)</f>
        <v>1104</v>
      </c>
      <c r="BO83" s="349">
        <f>IF($D$65=3,$F83*2*3,$F83*3)</f>
        <v>1656</v>
      </c>
      <c r="BP83" s="348">
        <f t="shared" si="13"/>
        <v>368</v>
      </c>
      <c r="BQ83" s="349">
        <f t="shared" si="36"/>
        <v>552</v>
      </c>
      <c r="BR83" s="348">
        <f t="shared" si="37"/>
        <v>368</v>
      </c>
      <c r="BS83" s="349">
        <f t="shared" si="38"/>
        <v>552</v>
      </c>
      <c r="BT83" s="350">
        <f t="shared" si="50"/>
        <v>368</v>
      </c>
      <c r="BU83" s="349">
        <f t="shared" si="39"/>
        <v>552</v>
      </c>
      <c r="BV83" s="348">
        <f t="shared" si="40"/>
        <v>368</v>
      </c>
      <c r="BW83" s="349">
        <f t="shared" si="41"/>
        <v>552</v>
      </c>
      <c r="BX83" s="348">
        <f>IF($D$65=2,$D83*2*3/4,$D83*3/4)</f>
        <v>276</v>
      </c>
      <c r="BY83" s="349">
        <f>IF($D$65=2,$F83*2*3/4,$F83*3/4)</f>
        <v>414</v>
      </c>
      <c r="BZ83" s="350">
        <f>$D83</f>
        <v>368</v>
      </c>
      <c r="CA83" s="349">
        <f>$F83</f>
        <v>552</v>
      </c>
      <c r="CB83" s="348">
        <f>$D83*3</f>
        <v>1104</v>
      </c>
      <c r="CC83" s="349">
        <f>$F83*3</f>
        <v>1656</v>
      </c>
      <c r="CD83" s="348">
        <f>IF($D$65=3,$D83*2/4,$D83/4)</f>
        <v>92</v>
      </c>
      <c r="CE83" s="349">
        <f>IF($D$65=3,$F83*2/4,$F83/4)</f>
        <v>138</v>
      </c>
      <c r="CF83" s="348">
        <f t="shared" si="51"/>
        <v>368</v>
      </c>
      <c r="CG83" s="349">
        <f t="shared" si="42"/>
        <v>552</v>
      </c>
      <c r="CH83" s="350">
        <f>$D83</f>
        <v>368</v>
      </c>
      <c r="CI83" s="349">
        <f>$F83</f>
        <v>552</v>
      </c>
      <c r="CJ83" s="348">
        <f>IF($D$65=1,$D83*2*3,$D83*3)</f>
        <v>1104</v>
      </c>
      <c r="CK83" s="349">
        <f>IF($D$65=1,$F83*2*3,$F83*3)</f>
        <v>1656</v>
      </c>
      <c r="CL83" s="348">
        <f>IF($D$65=2,$D83*2/4,$D83/4)</f>
        <v>92</v>
      </c>
      <c r="CM83" s="349">
        <f>IF($D$65=2,$F83*2/4,$F83/4)</f>
        <v>138</v>
      </c>
      <c r="CN83" s="350">
        <f t="shared" si="14"/>
        <v>368</v>
      </c>
      <c r="CO83" s="349">
        <f t="shared" si="43"/>
        <v>552</v>
      </c>
      <c r="CP83" s="348">
        <f t="shared" si="14"/>
        <v>368</v>
      </c>
      <c r="CQ83" s="349">
        <f t="shared" si="44"/>
        <v>552</v>
      </c>
      <c r="CR83" s="348">
        <f t="shared" si="14"/>
        <v>368</v>
      </c>
      <c r="CS83" s="349">
        <f t="shared" si="45"/>
        <v>552</v>
      </c>
    </row>
    <row r="84" spans="1:97" hidden="1">
      <c r="A84" s="339" t="s">
        <v>255</v>
      </c>
      <c r="B84" s="239">
        <v>140</v>
      </c>
      <c r="C84" s="239">
        <v>200</v>
      </c>
      <c r="D84" s="344">
        <f t="shared" si="3"/>
        <v>322</v>
      </c>
      <c r="E84" s="345">
        <f t="shared" si="15"/>
        <v>391</v>
      </c>
      <c r="F84" s="347">
        <f t="shared" si="4"/>
        <v>459.99999999999994</v>
      </c>
      <c r="G84" s="72"/>
      <c r="H84" s="350">
        <f t="shared" si="5"/>
        <v>322</v>
      </c>
      <c r="I84" s="349">
        <f t="shared" si="16"/>
        <v>459.99999999999994</v>
      </c>
      <c r="J84" s="348">
        <f t="shared" si="6"/>
        <v>322</v>
      </c>
      <c r="K84" s="349">
        <f t="shared" si="16"/>
        <v>459.99999999999994</v>
      </c>
      <c r="L84" s="348">
        <f t="shared" si="7"/>
        <v>322</v>
      </c>
      <c r="M84" s="349">
        <f t="shared" si="17"/>
        <v>459.99999999999994</v>
      </c>
      <c r="N84" s="348">
        <f t="shared" si="8"/>
        <v>322</v>
      </c>
      <c r="O84" s="349">
        <f t="shared" si="18"/>
        <v>459.99999999999994</v>
      </c>
      <c r="P84" s="348">
        <f t="shared" si="9"/>
        <v>322</v>
      </c>
      <c r="Q84" s="349">
        <f t="shared" si="19"/>
        <v>459.99999999999994</v>
      </c>
      <c r="R84" s="348">
        <f t="shared" si="10"/>
        <v>322</v>
      </c>
      <c r="S84" s="349">
        <f t="shared" si="20"/>
        <v>459.99999999999994</v>
      </c>
      <c r="T84" s="348">
        <f t="shared" si="11"/>
        <v>322</v>
      </c>
      <c r="U84" s="349">
        <f t="shared" si="21"/>
        <v>459.99999999999994</v>
      </c>
      <c r="V84" s="348">
        <f t="shared" si="22"/>
        <v>322</v>
      </c>
      <c r="W84" s="349">
        <f t="shared" si="23"/>
        <v>459.99999999999994</v>
      </c>
      <c r="X84" s="348">
        <f t="shared" si="46"/>
        <v>322</v>
      </c>
      <c r="Y84" s="349">
        <f t="shared" si="24"/>
        <v>459.99999999999994</v>
      </c>
      <c r="Z84" s="348">
        <f t="shared" si="25"/>
        <v>161</v>
      </c>
      <c r="AA84" s="349">
        <f t="shared" si="12"/>
        <v>229.99999999999997</v>
      </c>
      <c r="AB84" s="348">
        <f>$D84/2/4</f>
        <v>40.25</v>
      </c>
      <c r="AC84" s="349">
        <f>$F84/2/4</f>
        <v>57.499999999999993</v>
      </c>
      <c r="AD84" s="348">
        <f>$D84*3</f>
        <v>966</v>
      </c>
      <c r="AE84" s="349">
        <f>$F84*3</f>
        <v>1379.9999999999998</v>
      </c>
      <c r="AF84" s="348">
        <f t="shared" si="47"/>
        <v>322</v>
      </c>
      <c r="AG84" s="349">
        <f t="shared" si="26"/>
        <v>459.99999999999994</v>
      </c>
      <c r="AH84" s="348">
        <f t="shared" si="47"/>
        <v>322</v>
      </c>
      <c r="AI84" s="349">
        <f>IF($D$65=1,$F84*2,$F84)</f>
        <v>459.99999999999994</v>
      </c>
      <c r="AJ84" s="348">
        <f t="shared" si="27"/>
        <v>322</v>
      </c>
      <c r="AK84" s="349">
        <f t="shared" si="28"/>
        <v>459.99999999999994</v>
      </c>
      <c r="AL84" s="348">
        <f t="shared" si="48"/>
        <v>322</v>
      </c>
      <c r="AM84" s="349">
        <f t="shared" si="29"/>
        <v>459.99999999999994</v>
      </c>
      <c r="AN84" s="348">
        <f>$D84*3/4</f>
        <v>241.5</v>
      </c>
      <c r="AO84" s="349">
        <f>$F84*3/4</f>
        <v>344.99999999999994</v>
      </c>
      <c r="AP84" s="348">
        <f>IF($D$65=3,$D84*2/4,$D84/4)</f>
        <v>80.5</v>
      </c>
      <c r="AQ84" s="349">
        <f>IF($D$65=3,$F84*2/4,$F84/4)</f>
        <v>114.99999999999999</v>
      </c>
      <c r="AR84" s="348">
        <f>IF($D$65=3,$D84*2/4,$D84/4)</f>
        <v>80.5</v>
      </c>
      <c r="AS84" s="349">
        <f>IF($D$65=3,$F84*2/4,$F84/4)</f>
        <v>114.99999999999999</v>
      </c>
      <c r="AT84" s="348">
        <f t="shared" si="30"/>
        <v>322</v>
      </c>
      <c r="AU84" s="349">
        <f t="shared" si="31"/>
        <v>459.99999999999994</v>
      </c>
      <c r="AV84" s="348">
        <f>IF($D$65=4,$D84*2*3,$D84*3/2)</f>
        <v>483</v>
      </c>
      <c r="AW84" s="349">
        <f>IF($D$65=4,$F84*2*3,$F84*3/2)</f>
        <v>689.99999999999989</v>
      </c>
      <c r="AX84" s="348">
        <f>IF($D$65=4,$D84*2,$D84/2)</f>
        <v>161</v>
      </c>
      <c r="AY84" s="349">
        <f>IF($D$65=4,$F84*2,$F84/2)</f>
        <v>229.99999999999997</v>
      </c>
      <c r="AZ84" s="348">
        <f>IF($D$65=4,$D84*2/4,$D84/4/2)</f>
        <v>40.25</v>
      </c>
      <c r="BA84" s="349">
        <f>IF($D$65=4,$F84*2/4,$F84/4/2)</f>
        <v>57.499999999999993</v>
      </c>
      <c r="BB84" s="348">
        <f>IF($D$65=4,$D84*2/4,$D84/4/2)</f>
        <v>40.25</v>
      </c>
      <c r="BC84" s="349">
        <f>IF($D$65=4,$F84*2/4,$F84/4/2)</f>
        <v>57.499999999999993</v>
      </c>
      <c r="BD84" s="348">
        <f t="shared" si="32"/>
        <v>322</v>
      </c>
      <c r="BE84" s="349">
        <f t="shared" si="33"/>
        <v>459.99999999999994</v>
      </c>
      <c r="BF84" s="348">
        <f>IF($D$65=3,$D84*2/4,$D84/4)</f>
        <v>80.5</v>
      </c>
      <c r="BG84" s="349">
        <f>IF($D$65=3,$F84*2/4,$F84/4)</f>
        <v>114.99999999999999</v>
      </c>
      <c r="BH84" s="348">
        <f>$D84</f>
        <v>322</v>
      </c>
      <c r="BI84" s="349">
        <f>$F84</f>
        <v>459.99999999999994</v>
      </c>
      <c r="BJ84" s="348">
        <f>$D84/4</f>
        <v>80.5</v>
      </c>
      <c r="BK84" s="349">
        <f>$F84/4</f>
        <v>114.99999999999999</v>
      </c>
      <c r="BL84" s="348">
        <f t="shared" si="34"/>
        <v>322</v>
      </c>
      <c r="BM84" s="349">
        <f t="shared" si="35"/>
        <v>459.99999999999994</v>
      </c>
      <c r="BN84" s="348">
        <f>IF($D$65=3,$D84*2/4,$D84/4)</f>
        <v>80.5</v>
      </c>
      <c r="BO84" s="349">
        <f>IF($D$65=3,$F84*2/4,$F84/4)</f>
        <v>114.99999999999999</v>
      </c>
      <c r="BP84" s="348">
        <f t="shared" si="13"/>
        <v>322</v>
      </c>
      <c r="BQ84" s="349">
        <f t="shared" si="36"/>
        <v>459.99999999999994</v>
      </c>
      <c r="BR84" s="348">
        <f t="shared" si="37"/>
        <v>322</v>
      </c>
      <c r="BS84" s="349">
        <f t="shared" si="38"/>
        <v>459.99999999999994</v>
      </c>
      <c r="BT84" s="350">
        <f t="shared" si="50"/>
        <v>322</v>
      </c>
      <c r="BU84" s="349">
        <f t="shared" si="39"/>
        <v>459.99999999999994</v>
      </c>
      <c r="BV84" s="348">
        <f t="shared" si="40"/>
        <v>322</v>
      </c>
      <c r="BW84" s="349">
        <f t="shared" si="41"/>
        <v>459.99999999999994</v>
      </c>
      <c r="BX84" s="348">
        <f>IF($D$65=2,$D84*2/4,$D84/4)</f>
        <v>80.5</v>
      </c>
      <c r="BY84" s="349">
        <f>IF($D$65=2,$F84*2/4,$F84/4)</f>
        <v>114.99999999999999</v>
      </c>
      <c r="BZ84" s="350">
        <f>$D84*3</f>
        <v>966</v>
      </c>
      <c r="CA84" s="349">
        <f>$F84*3</f>
        <v>1379.9999999999998</v>
      </c>
      <c r="CB84" s="348">
        <f>$D84/4</f>
        <v>80.5</v>
      </c>
      <c r="CC84" s="349">
        <f>$F84/4</f>
        <v>114.99999999999999</v>
      </c>
      <c r="CD84" s="348">
        <f>IF($D$65=3,$D84*2/4,$D84/4)</f>
        <v>80.5</v>
      </c>
      <c r="CE84" s="349">
        <f>IF($D$65=3,$F84*2/4,$F84/4)</f>
        <v>114.99999999999999</v>
      </c>
      <c r="CF84" s="348">
        <f t="shared" si="51"/>
        <v>322</v>
      </c>
      <c r="CG84" s="349">
        <f t="shared" si="42"/>
        <v>459.99999999999994</v>
      </c>
      <c r="CH84" s="350">
        <f>$D84*3</f>
        <v>966</v>
      </c>
      <c r="CI84" s="349">
        <f>$F84*3</f>
        <v>1379.9999999999998</v>
      </c>
      <c r="CJ84" s="348">
        <f>IF($D$65=1,$D84*2/4,$D84/4)</f>
        <v>80.5</v>
      </c>
      <c r="CK84" s="349">
        <f>IF($D$65=1,$F84*2/4,$F84/4)</f>
        <v>114.99999999999999</v>
      </c>
      <c r="CL84" s="348">
        <f>IF($D$65=2,$D84*2/4,$D84/4)</f>
        <v>80.5</v>
      </c>
      <c r="CM84" s="349">
        <f>IF($D$65=2,$F84*2/4,$F84/4)</f>
        <v>114.99999999999999</v>
      </c>
      <c r="CN84" s="350">
        <f t="shared" si="14"/>
        <v>322</v>
      </c>
      <c r="CO84" s="349">
        <f t="shared" si="43"/>
        <v>459.99999999999994</v>
      </c>
      <c r="CP84" s="348">
        <f t="shared" si="14"/>
        <v>322</v>
      </c>
      <c r="CQ84" s="349">
        <f t="shared" si="44"/>
        <v>459.99999999999994</v>
      </c>
      <c r="CR84" s="348">
        <f t="shared" si="14"/>
        <v>322</v>
      </c>
      <c r="CS84" s="349">
        <f t="shared" si="45"/>
        <v>459.99999999999994</v>
      </c>
    </row>
    <row r="85" spans="1:97" hidden="1">
      <c r="A85" s="340" t="s">
        <v>275</v>
      </c>
      <c r="B85" s="239">
        <v>150</v>
      </c>
      <c r="C85" s="239">
        <v>250</v>
      </c>
      <c r="D85" s="344">
        <f t="shared" si="3"/>
        <v>345</v>
      </c>
      <c r="E85" s="345">
        <f t="shared" si="15"/>
        <v>460</v>
      </c>
      <c r="F85" s="347">
        <f t="shared" si="4"/>
        <v>575</v>
      </c>
      <c r="G85" s="72"/>
      <c r="H85" s="350">
        <f t="shared" si="5"/>
        <v>345</v>
      </c>
      <c r="I85" s="349">
        <f t="shared" si="16"/>
        <v>575</v>
      </c>
      <c r="J85" s="348">
        <f t="shared" si="6"/>
        <v>345</v>
      </c>
      <c r="K85" s="349">
        <f t="shared" si="16"/>
        <v>575</v>
      </c>
      <c r="L85" s="348">
        <f t="shared" si="7"/>
        <v>345</v>
      </c>
      <c r="M85" s="349">
        <f t="shared" si="17"/>
        <v>575</v>
      </c>
      <c r="N85" s="348">
        <f t="shared" si="8"/>
        <v>345</v>
      </c>
      <c r="O85" s="349">
        <f t="shared" si="18"/>
        <v>575</v>
      </c>
      <c r="P85" s="348">
        <f t="shared" si="9"/>
        <v>345</v>
      </c>
      <c r="Q85" s="349">
        <f t="shared" si="19"/>
        <v>575</v>
      </c>
      <c r="R85" s="348">
        <f t="shared" si="10"/>
        <v>345</v>
      </c>
      <c r="S85" s="349">
        <f t="shared" si="20"/>
        <v>575</v>
      </c>
      <c r="T85" s="348">
        <f t="shared" si="11"/>
        <v>345</v>
      </c>
      <c r="U85" s="349">
        <f t="shared" si="21"/>
        <v>575</v>
      </c>
      <c r="V85" s="348">
        <f t="shared" si="22"/>
        <v>345</v>
      </c>
      <c r="W85" s="349">
        <f t="shared" si="23"/>
        <v>575</v>
      </c>
      <c r="X85" s="348">
        <f t="shared" si="46"/>
        <v>345</v>
      </c>
      <c r="Y85" s="349">
        <f t="shared" si="24"/>
        <v>575</v>
      </c>
      <c r="Z85" s="348">
        <f t="shared" si="25"/>
        <v>172.5</v>
      </c>
      <c r="AA85" s="349">
        <f t="shared" si="12"/>
        <v>287.5</v>
      </c>
      <c r="AB85" s="348">
        <f>$D85/2*3</f>
        <v>517.5</v>
      </c>
      <c r="AC85" s="349">
        <f>$F85/2*3</f>
        <v>862.5</v>
      </c>
      <c r="AD85" s="348">
        <f>$D85/4</f>
        <v>86.25</v>
      </c>
      <c r="AE85" s="349">
        <f>$F85/4</f>
        <v>143.75</v>
      </c>
      <c r="AF85" s="348">
        <f t="shared" si="47"/>
        <v>345</v>
      </c>
      <c r="AG85" s="349">
        <f t="shared" si="26"/>
        <v>575</v>
      </c>
      <c r="AH85" s="348">
        <f>IF($D$65=1,$D85*2/4,$D85/4)</f>
        <v>86.25</v>
      </c>
      <c r="AI85" s="349">
        <f>IF($D$65=1,$F85*2/4,$F85/4)</f>
        <v>143.75</v>
      </c>
      <c r="AJ85" s="348">
        <f t="shared" si="27"/>
        <v>345</v>
      </c>
      <c r="AK85" s="349">
        <f t="shared" si="28"/>
        <v>575</v>
      </c>
      <c r="AL85" s="348">
        <f t="shared" si="48"/>
        <v>345</v>
      </c>
      <c r="AM85" s="349">
        <f t="shared" si="29"/>
        <v>575</v>
      </c>
      <c r="AN85" s="348">
        <f>$D85*3/4</f>
        <v>258.75</v>
      </c>
      <c r="AO85" s="349">
        <f>$F85*3/4</f>
        <v>431.25</v>
      </c>
      <c r="AP85" s="348">
        <f>IF($D$65=3,$D85*2,$D85)</f>
        <v>345</v>
      </c>
      <c r="AQ85" s="349">
        <f>IF($D$65=3,$F85*2,$F85)</f>
        <v>575</v>
      </c>
      <c r="AR85" s="348">
        <f>IF($D$65=3,$D85*2*3,$D85*3)</f>
        <v>1035</v>
      </c>
      <c r="AS85" s="349">
        <f>IF($D$65=3,$F85*2*3,$F85*3)</f>
        <v>1725</v>
      </c>
      <c r="AT85" s="348">
        <f t="shared" si="30"/>
        <v>345</v>
      </c>
      <c r="AU85" s="349">
        <f t="shared" si="31"/>
        <v>575</v>
      </c>
      <c r="AV85" s="348">
        <f>IF($D$65=4,$D85*2/4,$D85/4/2)</f>
        <v>43.125</v>
      </c>
      <c r="AW85" s="349">
        <f>IF($D$65=4,$F85*2/4,$F85/4/2)</f>
        <v>71.875</v>
      </c>
      <c r="AX85" s="348">
        <f>IF($D$65=4,$D85*2/4,$D85/4/2)</f>
        <v>43.125</v>
      </c>
      <c r="AY85" s="349">
        <f>IF($D$65=4,$F85*2/4,$F85/4/2)</f>
        <v>71.875</v>
      </c>
      <c r="AZ85" s="348">
        <f>IF($D$65=4,$D85*2*3,$D85*3/2)</f>
        <v>517.5</v>
      </c>
      <c r="BA85" s="349">
        <f>IF($D$65=4,$F85*2*3,$F85*3/2)</f>
        <v>862.5</v>
      </c>
      <c r="BB85" s="348">
        <f>IF($D$65=4,$D85*2,$D85/2)</f>
        <v>172.5</v>
      </c>
      <c r="BC85" s="349">
        <f>IF($D$65=4,$F85*2,$F85/2)</f>
        <v>287.5</v>
      </c>
      <c r="BD85" s="348">
        <f t="shared" si="32"/>
        <v>345</v>
      </c>
      <c r="BE85" s="349">
        <f t="shared" si="33"/>
        <v>575</v>
      </c>
      <c r="BF85" s="348">
        <f>IF($D$65=3,$D85*2*3,$D85*3)</f>
        <v>1035</v>
      </c>
      <c r="BG85" s="349">
        <f>IF($D$65=3,$F85*2*3,$F85*3)</f>
        <v>1725</v>
      </c>
      <c r="BH85" s="348">
        <f>$D85/4</f>
        <v>86.25</v>
      </c>
      <c r="BI85" s="349">
        <f>$F85/4</f>
        <v>143.75</v>
      </c>
      <c r="BJ85" s="348">
        <f>$D85*3</f>
        <v>1035</v>
      </c>
      <c r="BK85" s="349">
        <f>$F85*3</f>
        <v>1725</v>
      </c>
      <c r="BL85" s="348">
        <f t="shared" si="34"/>
        <v>345</v>
      </c>
      <c r="BM85" s="349">
        <f t="shared" si="35"/>
        <v>575</v>
      </c>
      <c r="BN85" s="348">
        <f>IF($D$65=3,$D85*2,$D85)</f>
        <v>345</v>
      </c>
      <c r="BO85" s="349">
        <f>IF($D$65=3,$F85*2,$F85)</f>
        <v>575</v>
      </c>
      <c r="BP85" s="348">
        <f t="shared" si="13"/>
        <v>345</v>
      </c>
      <c r="BQ85" s="349">
        <f t="shared" si="36"/>
        <v>575</v>
      </c>
      <c r="BR85" s="348">
        <f t="shared" si="37"/>
        <v>345</v>
      </c>
      <c r="BS85" s="349">
        <f t="shared" si="38"/>
        <v>575</v>
      </c>
      <c r="BT85" s="350">
        <f t="shared" si="50"/>
        <v>345</v>
      </c>
      <c r="BU85" s="349">
        <f t="shared" si="39"/>
        <v>575</v>
      </c>
      <c r="BV85" s="348">
        <f t="shared" si="40"/>
        <v>345</v>
      </c>
      <c r="BW85" s="349">
        <f t="shared" si="41"/>
        <v>575</v>
      </c>
      <c r="BX85" s="348">
        <f>IF($D$65=2,$D85*2/4,$D85/4)</f>
        <v>86.25</v>
      </c>
      <c r="BY85" s="349">
        <f>IF($D$65=2,$F85*2/4,$F85/4)</f>
        <v>143.75</v>
      </c>
      <c r="BZ85" s="350">
        <f>$D85/4</f>
        <v>86.25</v>
      </c>
      <c r="CA85" s="349">
        <f>$F85/4</f>
        <v>143.75</v>
      </c>
      <c r="CB85" s="348">
        <f>$D85</f>
        <v>345</v>
      </c>
      <c r="CC85" s="349">
        <f>$F85</f>
        <v>575</v>
      </c>
      <c r="CD85" s="348">
        <f>IF($D$65=3,$D85*2*3,$D85*3)</f>
        <v>1035</v>
      </c>
      <c r="CE85" s="349">
        <f>IF($D$65=3,$F85*2*3,$F85*3)</f>
        <v>1725</v>
      </c>
      <c r="CF85" s="348">
        <f t="shared" si="51"/>
        <v>345</v>
      </c>
      <c r="CG85" s="349">
        <f t="shared" si="42"/>
        <v>575</v>
      </c>
      <c r="CH85" s="350">
        <f>$D85/4</f>
        <v>86.25</v>
      </c>
      <c r="CI85" s="349">
        <f>$F85/4</f>
        <v>143.75</v>
      </c>
      <c r="CJ85" s="348">
        <f>IF($D$65=1,$D85*2,$D85)</f>
        <v>345</v>
      </c>
      <c r="CK85" s="349">
        <f>IF($D$65=1,$F85*2,$F85)</f>
        <v>575</v>
      </c>
      <c r="CL85" s="348">
        <f>IF($D$65=2,$D85*2*3,$D85*3)</f>
        <v>1035</v>
      </c>
      <c r="CM85" s="349">
        <f>IF($D$65=2,$F85*2*3,$F85*3)</f>
        <v>1725</v>
      </c>
      <c r="CN85" s="350">
        <f t="shared" si="14"/>
        <v>345</v>
      </c>
      <c r="CO85" s="349">
        <f t="shared" si="43"/>
        <v>575</v>
      </c>
      <c r="CP85" s="348">
        <f t="shared" si="14"/>
        <v>345</v>
      </c>
      <c r="CQ85" s="349">
        <f t="shared" si="44"/>
        <v>575</v>
      </c>
      <c r="CR85" s="348">
        <f t="shared" si="14"/>
        <v>345</v>
      </c>
      <c r="CS85" s="349">
        <f t="shared" si="45"/>
        <v>575</v>
      </c>
    </row>
    <row r="86" spans="1:97" hidden="1">
      <c r="A86" s="109" t="s">
        <v>344</v>
      </c>
      <c r="B86" s="239">
        <v>200</v>
      </c>
      <c r="C86" s="239">
        <v>220</v>
      </c>
      <c r="D86" s="344">
        <f t="shared" si="3"/>
        <v>460</v>
      </c>
      <c r="E86" s="345">
        <f t="shared" si="15"/>
        <v>483</v>
      </c>
      <c r="F86" s="347">
        <f t="shared" si="4"/>
        <v>505.99999999999994</v>
      </c>
      <c r="G86" s="72"/>
      <c r="H86" s="350">
        <f t="shared" si="5"/>
        <v>460</v>
      </c>
      <c r="I86" s="349">
        <f t="shared" si="16"/>
        <v>505.99999999999994</v>
      </c>
      <c r="J86" s="348">
        <f t="shared" si="6"/>
        <v>460</v>
      </c>
      <c r="K86" s="349">
        <f t="shared" si="16"/>
        <v>505.99999999999994</v>
      </c>
      <c r="L86" s="348">
        <f t="shared" si="7"/>
        <v>460</v>
      </c>
      <c r="M86" s="349">
        <f t="shared" si="17"/>
        <v>505.99999999999994</v>
      </c>
      <c r="N86" s="348">
        <f t="shared" si="8"/>
        <v>460</v>
      </c>
      <c r="O86" s="349">
        <f t="shared" si="18"/>
        <v>505.99999999999994</v>
      </c>
      <c r="P86" s="348">
        <f t="shared" si="9"/>
        <v>460</v>
      </c>
      <c r="Q86" s="349">
        <f t="shared" si="19"/>
        <v>505.99999999999994</v>
      </c>
      <c r="R86" s="348">
        <f t="shared" si="10"/>
        <v>460</v>
      </c>
      <c r="S86" s="349">
        <f t="shared" si="20"/>
        <v>505.99999999999994</v>
      </c>
      <c r="T86" s="348">
        <f t="shared" si="11"/>
        <v>460</v>
      </c>
      <c r="U86" s="349">
        <f t="shared" si="21"/>
        <v>505.99999999999994</v>
      </c>
      <c r="V86" s="348">
        <f t="shared" si="22"/>
        <v>460</v>
      </c>
      <c r="W86" s="349">
        <f t="shared" si="23"/>
        <v>505.99999999999994</v>
      </c>
      <c r="X86" s="348">
        <f t="shared" si="46"/>
        <v>460</v>
      </c>
      <c r="Y86" s="349">
        <f t="shared" si="24"/>
        <v>505.99999999999994</v>
      </c>
      <c r="Z86" s="348">
        <f t="shared" si="25"/>
        <v>230</v>
      </c>
      <c r="AA86" s="349">
        <f t="shared" si="12"/>
        <v>252.99999999999997</v>
      </c>
      <c r="AB86" s="348">
        <f>$D86/2</f>
        <v>230</v>
      </c>
      <c r="AC86" s="349">
        <f>$F86/2</f>
        <v>252.99999999999997</v>
      </c>
      <c r="AD86" s="348">
        <f>$D86/4</f>
        <v>115</v>
      </c>
      <c r="AE86" s="349">
        <f>$F86/4</f>
        <v>126.49999999999999</v>
      </c>
      <c r="AF86" s="348">
        <f t="shared" si="47"/>
        <v>460</v>
      </c>
      <c r="AG86" s="349">
        <f t="shared" si="26"/>
        <v>505.99999999999994</v>
      </c>
      <c r="AH86" s="348">
        <f>IF($D$65=1,$D86*2*3,$D86*3)</f>
        <v>1380</v>
      </c>
      <c r="AI86" s="349">
        <f>IF($D$65=1,$F86*2*3,$F86*3)</f>
        <v>1517.9999999999998</v>
      </c>
      <c r="AJ86" s="348">
        <f t="shared" si="27"/>
        <v>460</v>
      </c>
      <c r="AK86" s="349">
        <f t="shared" si="28"/>
        <v>505.99999999999994</v>
      </c>
      <c r="AL86" s="348">
        <f t="shared" si="48"/>
        <v>460</v>
      </c>
      <c r="AM86" s="349">
        <f t="shared" si="29"/>
        <v>505.99999999999994</v>
      </c>
      <c r="AN86" s="348">
        <f>$D86/4</f>
        <v>115</v>
      </c>
      <c r="AO86" s="349">
        <f>$F86/4</f>
        <v>126.49999999999999</v>
      </c>
      <c r="AP86" s="348">
        <f>IF($D$65=3,$D86*2/4,$D86/4)</f>
        <v>115</v>
      </c>
      <c r="AQ86" s="349">
        <f>IF($D$65=3,$F86*2/4,$F86/4)</f>
        <v>126.49999999999999</v>
      </c>
      <c r="AR86" s="348">
        <f>IF($D$65=3,$D86*2,$D86)</f>
        <v>460</v>
      </c>
      <c r="AS86" s="349">
        <f>IF($D$65=3,$F86*2,$F86)</f>
        <v>505.99999999999994</v>
      </c>
      <c r="AT86" s="348">
        <f t="shared" si="30"/>
        <v>460</v>
      </c>
      <c r="AU86" s="349">
        <f t="shared" si="31"/>
        <v>505.99999999999994</v>
      </c>
      <c r="AV86" s="348">
        <f>IF($D$65=4,$D86*2/4,$D86/4/2)</f>
        <v>57.5</v>
      </c>
      <c r="AW86" s="349">
        <f>IF($D$65=4,$F86*2/4,$F86/4/2)</f>
        <v>63.249999999999993</v>
      </c>
      <c r="AX86" s="348">
        <f>IF($D$65=4,$D86*2*3,$D86*3/2)</f>
        <v>690</v>
      </c>
      <c r="AY86" s="349">
        <f>IF($D$65=4,$F86*2*3,$F86*3/2)</f>
        <v>758.99999999999989</v>
      </c>
      <c r="AZ86" s="348">
        <f>IF($D$65=4,$D86*2,$D86/2)</f>
        <v>230</v>
      </c>
      <c r="BA86" s="349">
        <f>IF($D$65=4,$F86*2,$F86/2)</f>
        <v>252.99999999999997</v>
      </c>
      <c r="BB86" s="348">
        <f>IF($D$65=4,$D86*2/4,$D86/4/2)</f>
        <v>57.5</v>
      </c>
      <c r="BC86" s="349">
        <f>IF($D$65=4,$F86*2/4,$F86/4/2)</f>
        <v>63.249999999999993</v>
      </c>
      <c r="BD86" s="348">
        <f t="shared" si="32"/>
        <v>460</v>
      </c>
      <c r="BE86" s="349">
        <f t="shared" si="33"/>
        <v>505.99999999999994</v>
      </c>
      <c r="BF86" s="348">
        <f>IF($D$65=3,$D86*2,$D86)</f>
        <v>460</v>
      </c>
      <c r="BG86" s="349">
        <f>IF($D$65=3,$F86*2,$F86)</f>
        <v>505.99999999999994</v>
      </c>
      <c r="BH86" s="348">
        <f>$D86*3</f>
        <v>1380</v>
      </c>
      <c r="BI86" s="349">
        <f>$F86*3</f>
        <v>1517.9999999999998</v>
      </c>
      <c r="BJ86" s="348">
        <f>$D86</f>
        <v>460</v>
      </c>
      <c r="BK86" s="349">
        <f>$F86</f>
        <v>505.99999999999994</v>
      </c>
      <c r="BL86" s="348">
        <f t="shared" si="34"/>
        <v>460</v>
      </c>
      <c r="BM86" s="349">
        <f t="shared" si="35"/>
        <v>505.99999999999994</v>
      </c>
      <c r="BN86" s="348">
        <f>IF($D$65=3,$D86*2/4,$D86/4)</f>
        <v>115</v>
      </c>
      <c r="BO86" s="349">
        <f>IF($D$65=3,$F86*2/4,$F86/4)</f>
        <v>126.49999999999999</v>
      </c>
      <c r="BP86" s="348">
        <f t="shared" si="13"/>
        <v>460</v>
      </c>
      <c r="BQ86" s="349">
        <f t="shared" si="36"/>
        <v>505.99999999999994</v>
      </c>
      <c r="BR86" s="348">
        <f t="shared" si="37"/>
        <v>460</v>
      </c>
      <c r="BS86" s="349">
        <f t="shared" si="38"/>
        <v>505.99999999999994</v>
      </c>
      <c r="BT86" s="350">
        <f t="shared" si="50"/>
        <v>460</v>
      </c>
      <c r="BU86" s="349">
        <f t="shared" si="39"/>
        <v>505.99999999999994</v>
      </c>
      <c r="BV86" s="348">
        <f t="shared" si="40"/>
        <v>460</v>
      </c>
      <c r="BW86" s="349">
        <f t="shared" si="41"/>
        <v>505.99999999999994</v>
      </c>
      <c r="BX86" s="348">
        <f>IF($D$65=2,$D86*2*3/4,$D86*3/4)</f>
        <v>345</v>
      </c>
      <c r="BY86" s="349">
        <f>IF($D$65=2,$F86*2*3/4,$F86*3/4)</f>
        <v>379.49999999999994</v>
      </c>
      <c r="BZ86" s="350">
        <f>$D86/4</f>
        <v>115</v>
      </c>
      <c r="CA86" s="349">
        <f>$F86/4</f>
        <v>126.49999999999999</v>
      </c>
      <c r="CB86" s="348">
        <f>$D86/4</f>
        <v>115</v>
      </c>
      <c r="CC86" s="349">
        <f>$F86/4</f>
        <v>126.49999999999999</v>
      </c>
      <c r="CD86" s="348">
        <f>IF($D$65=3,$D86*2,$D86)</f>
        <v>460</v>
      </c>
      <c r="CE86" s="349">
        <f>IF($D$65=3,$F86*2,$F86)</f>
        <v>505.99999999999994</v>
      </c>
      <c r="CF86" s="348">
        <f t="shared" si="51"/>
        <v>460</v>
      </c>
      <c r="CG86" s="349">
        <f t="shared" si="42"/>
        <v>505.99999999999994</v>
      </c>
      <c r="CH86" s="350">
        <f>$D86/4</f>
        <v>115</v>
      </c>
      <c r="CI86" s="349">
        <f>$F86/4</f>
        <v>126.49999999999999</v>
      </c>
      <c r="CJ86" s="348">
        <f>IF($D$65=1,$D86*2/4,$D86/4)</f>
        <v>115</v>
      </c>
      <c r="CK86" s="349">
        <f>IF($D$65=1,$F86*2/4,$F86/4)</f>
        <v>126.49999999999999</v>
      </c>
      <c r="CL86" s="348">
        <f>IF($D$65=2,$D86*2,$D86)</f>
        <v>460</v>
      </c>
      <c r="CM86" s="349">
        <f>IF($D$65=2,$F86*2,$F86)</f>
        <v>505.99999999999994</v>
      </c>
      <c r="CN86" s="350">
        <f t="shared" si="14"/>
        <v>460</v>
      </c>
      <c r="CO86" s="349">
        <f t="shared" si="43"/>
        <v>505.99999999999994</v>
      </c>
      <c r="CP86" s="348">
        <f t="shared" si="14"/>
        <v>460</v>
      </c>
      <c r="CQ86" s="349">
        <f t="shared" si="44"/>
        <v>505.99999999999994</v>
      </c>
      <c r="CR86" s="348">
        <f t="shared" si="14"/>
        <v>460</v>
      </c>
      <c r="CS86" s="349">
        <f t="shared" si="45"/>
        <v>505.99999999999994</v>
      </c>
    </row>
    <row r="87" spans="1:97" hidden="1">
      <c r="A87" s="25" t="s">
        <v>212</v>
      </c>
      <c r="B87" s="239">
        <v>150</v>
      </c>
      <c r="C87" s="239">
        <v>165</v>
      </c>
      <c r="D87" s="344">
        <f t="shared" si="3"/>
        <v>345</v>
      </c>
      <c r="E87" s="345">
        <f t="shared" si="15"/>
        <v>362.25</v>
      </c>
      <c r="F87" s="347">
        <f t="shared" si="4"/>
        <v>379.49999999999994</v>
      </c>
      <c r="G87" s="72"/>
      <c r="H87" s="350">
        <f t="shared" si="5"/>
        <v>345</v>
      </c>
      <c r="I87" s="349">
        <f t="shared" si="16"/>
        <v>379.49999999999994</v>
      </c>
      <c r="J87" s="348">
        <f t="shared" si="6"/>
        <v>345</v>
      </c>
      <c r="K87" s="349">
        <f t="shared" si="16"/>
        <v>379.49999999999994</v>
      </c>
      <c r="L87" s="348">
        <f t="shared" si="7"/>
        <v>345</v>
      </c>
      <c r="M87" s="349">
        <f t="shared" si="17"/>
        <v>379.49999999999994</v>
      </c>
      <c r="N87" s="348">
        <f t="shared" si="8"/>
        <v>345</v>
      </c>
      <c r="O87" s="349">
        <f t="shared" si="18"/>
        <v>379.49999999999994</v>
      </c>
      <c r="P87" s="348">
        <f t="shared" si="9"/>
        <v>345</v>
      </c>
      <c r="Q87" s="349">
        <f t="shared" si="19"/>
        <v>379.49999999999994</v>
      </c>
      <c r="R87" s="348">
        <f t="shared" si="10"/>
        <v>345</v>
      </c>
      <c r="S87" s="349">
        <f t="shared" si="20"/>
        <v>379.49999999999994</v>
      </c>
      <c r="T87" s="348">
        <f t="shared" si="11"/>
        <v>345</v>
      </c>
      <c r="U87" s="349">
        <f t="shared" si="21"/>
        <v>379.49999999999994</v>
      </c>
      <c r="V87" s="348">
        <f t="shared" si="22"/>
        <v>345</v>
      </c>
      <c r="W87" s="349">
        <f t="shared" si="23"/>
        <v>379.49999999999994</v>
      </c>
      <c r="X87" s="348">
        <f t="shared" si="46"/>
        <v>345</v>
      </c>
      <c r="Y87" s="349">
        <f t="shared" si="24"/>
        <v>379.49999999999994</v>
      </c>
      <c r="Z87" s="348">
        <f t="shared" si="25"/>
        <v>172.5</v>
      </c>
      <c r="AA87" s="349">
        <f t="shared" si="12"/>
        <v>189.74999999999997</v>
      </c>
      <c r="AB87" s="348">
        <f>$D87/2</f>
        <v>172.5</v>
      </c>
      <c r="AC87" s="349">
        <f>$F87/2</f>
        <v>189.74999999999997</v>
      </c>
      <c r="AD87" s="348">
        <f>$D87</f>
        <v>345</v>
      </c>
      <c r="AE87" s="349">
        <f>$F87</f>
        <v>379.49999999999994</v>
      </c>
      <c r="AF87" s="348">
        <f t="shared" si="47"/>
        <v>345</v>
      </c>
      <c r="AG87" s="349">
        <f t="shared" si="26"/>
        <v>379.49999999999994</v>
      </c>
      <c r="AH87" s="348">
        <f t="shared" si="47"/>
        <v>345</v>
      </c>
      <c r="AI87" s="349">
        <f>IF($D$65=1,$F87*2,$F87)</f>
        <v>379.49999999999994</v>
      </c>
      <c r="AJ87" s="348">
        <f t="shared" si="27"/>
        <v>345</v>
      </c>
      <c r="AK87" s="349">
        <f t="shared" si="28"/>
        <v>379.49999999999994</v>
      </c>
      <c r="AL87" s="348">
        <f t="shared" si="48"/>
        <v>345</v>
      </c>
      <c r="AM87" s="349">
        <f t="shared" si="29"/>
        <v>379.49999999999994</v>
      </c>
      <c r="AN87" s="348">
        <f>$D87</f>
        <v>345</v>
      </c>
      <c r="AO87" s="349">
        <f>$F87</f>
        <v>379.49999999999994</v>
      </c>
      <c r="AP87" s="348">
        <f>IF($D$65=3,$D87*2,$D87)</f>
        <v>345</v>
      </c>
      <c r="AQ87" s="349">
        <f>IF($D$65=3,$F87*2,$F87)</f>
        <v>379.49999999999994</v>
      </c>
      <c r="AR87" s="348">
        <f>IF($D$65=3,$D87*2,$D87)</f>
        <v>345</v>
      </c>
      <c r="AS87" s="349">
        <f>IF($D$65=3,$F87*2,$F87)</f>
        <v>379.49999999999994</v>
      </c>
      <c r="AT87" s="348">
        <f t="shared" si="30"/>
        <v>345</v>
      </c>
      <c r="AU87" s="349">
        <f t="shared" si="31"/>
        <v>379.49999999999994</v>
      </c>
      <c r="AV87" s="348">
        <f>IF($D$65=4,$D87*2,$D87/2)</f>
        <v>172.5</v>
      </c>
      <c r="AW87" s="349">
        <f>IF($D$65=4,$F87*2,$F87/2)</f>
        <v>189.74999999999997</v>
      </c>
      <c r="AX87" s="348">
        <f t="shared" ref="AX87:BB88" si="54">IF($D$65=4,$D87*2,$D87/2)</f>
        <v>172.5</v>
      </c>
      <c r="AY87" s="349">
        <f>IF($D$65=4,$F87*2,$F87/2)</f>
        <v>189.74999999999997</v>
      </c>
      <c r="AZ87" s="348">
        <f t="shared" si="54"/>
        <v>172.5</v>
      </c>
      <c r="BA87" s="349">
        <f>IF($D$65=4,$F87*2,$F87/2)</f>
        <v>189.74999999999997</v>
      </c>
      <c r="BB87" s="348">
        <f t="shared" si="54"/>
        <v>172.5</v>
      </c>
      <c r="BC87" s="349">
        <f>IF($D$65=4,$F87*2,$F87/2)</f>
        <v>189.74999999999997</v>
      </c>
      <c r="BD87" s="348">
        <f t="shared" si="32"/>
        <v>345</v>
      </c>
      <c r="BE87" s="349">
        <f t="shared" si="33"/>
        <v>379.49999999999994</v>
      </c>
      <c r="BF87" s="348">
        <f>IF($D$65=3,$D87*2,$D87)</f>
        <v>345</v>
      </c>
      <c r="BG87" s="349">
        <f>IF($D$65=3,$F87*2,$F87)</f>
        <v>379.49999999999994</v>
      </c>
      <c r="BH87" s="348">
        <f>$D87</f>
        <v>345</v>
      </c>
      <c r="BI87" s="349">
        <f>$F87</f>
        <v>379.49999999999994</v>
      </c>
      <c r="BJ87" s="348">
        <f>$D87</f>
        <v>345</v>
      </c>
      <c r="BK87" s="349">
        <f>$F87</f>
        <v>379.49999999999994</v>
      </c>
      <c r="BL87" s="348">
        <f t="shared" si="34"/>
        <v>345</v>
      </c>
      <c r="BM87" s="349">
        <f t="shared" si="35"/>
        <v>379.49999999999994</v>
      </c>
      <c r="BN87" s="348">
        <f>IF($D$65=3,$D87*2,$D87)</f>
        <v>345</v>
      </c>
      <c r="BO87" s="349">
        <f>IF($D$65=3,$F87*2,$F87)</f>
        <v>379.49999999999994</v>
      </c>
      <c r="BP87" s="348">
        <f t="shared" si="13"/>
        <v>345</v>
      </c>
      <c r="BQ87" s="349">
        <f t="shared" si="36"/>
        <v>379.49999999999994</v>
      </c>
      <c r="BR87" s="348">
        <f t="shared" si="37"/>
        <v>345</v>
      </c>
      <c r="BS87" s="349">
        <f t="shared" si="38"/>
        <v>379.49999999999994</v>
      </c>
      <c r="BT87" s="350">
        <f t="shared" si="50"/>
        <v>345</v>
      </c>
      <c r="BU87" s="349">
        <f t="shared" si="39"/>
        <v>379.49999999999994</v>
      </c>
      <c r="BV87" s="348">
        <f t="shared" si="40"/>
        <v>345</v>
      </c>
      <c r="BW87" s="349">
        <f t="shared" si="41"/>
        <v>379.49999999999994</v>
      </c>
      <c r="BX87" s="348">
        <f>IF($D$65=2,$D87*2,$D87)</f>
        <v>345</v>
      </c>
      <c r="BY87" s="349">
        <f>IF($D$65=2,$F87*2,$F87)</f>
        <v>379.49999999999994</v>
      </c>
      <c r="BZ87" s="350">
        <f>$D87</f>
        <v>345</v>
      </c>
      <c r="CA87" s="349">
        <f>$F87</f>
        <v>379.49999999999994</v>
      </c>
      <c r="CB87" s="348">
        <f>$D87</f>
        <v>345</v>
      </c>
      <c r="CC87" s="349">
        <f>$F87</f>
        <v>379.49999999999994</v>
      </c>
      <c r="CD87" s="348">
        <f>IF($D$65=3,$D87*2,$D87)</f>
        <v>345</v>
      </c>
      <c r="CE87" s="349">
        <f>IF($D$65=3,$F87*2,$F87)</f>
        <v>379.49999999999994</v>
      </c>
      <c r="CF87" s="348">
        <f t="shared" si="51"/>
        <v>345</v>
      </c>
      <c r="CG87" s="349">
        <f t="shared" si="42"/>
        <v>379.49999999999994</v>
      </c>
      <c r="CH87" s="350">
        <f>$D87</f>
        <v>345</v>
      </c>
      <c r="CI87" s="349">
        <f>$F87</f>
        <v>379.49999999999994</v>
      </c>
      <c r="CJ87" s="348">
        <f>IF($D$65=1,$D87*2,$D87)</f>
        <v>345</v>
      </c>
      <c r="CK87" s="349">
        <f>IF($D$65=1,$F87*2,$F87)</f>
        <v>379.49999999999994</v>
      </c>
      <c r="CL87" s="348">
        <f>IF($D$65=2,$D87*2,$D87)</f>
        <v>345</v>
      </c>
      <c r="CM87" s="349">
        <f>IF($D$65=2,$F87*2,$F87)</f>
        <v>379.49999999999994</v>
      </c>
      <c r="CN87" s="350">
        <f t="shared" si="14"/>
        <v>345</v>
      </c>
      <c r="CO87" s="349">
        <f t="shared" si="43"/>
        <v>379.49999999999994</v>
      </c>
      <c r="CP87" s="348">
        <f t="shared" si="14"/>
        <v>345</v>
      </c>
      <c r="CQ87" s="349">
        <f t="shared" si="44"/>
        <v>379.49999999999994</v>
      </c>
      <c r="CR87" s="348">
        <f t="shared" si="14"/>
        <v>345</v>
      </c>
      <c r="CS87" s="349">
        <f t="shared" si="45"/>
        <v>379.49999999999994</v>
      </c>
    </row>
    <row r="88" spans="1:97" hidden="1">
      <c r="A88" s="29" t="s">
        <v>227</v>
      </c>
      <c r="B88" s="326">
        <v>100</v>
      </c>
      <c r="C88" s="326">
        <v>220</v>
      </c>
      <c r="D88" s="351">
        <f t="shared" si="3"/>
        <v>230</v>
      </c>
      <c r="E88" s="352">
        <f t="shared" si="15"/>
        <v>368</v>
      </c>
      <c r="F88" s="353">
        <f t="shared" si="4"/>
        <v>505.99999999999994</v>
      </c>
      <c r="G88" s="75"/>
      <c r="H88" s="354">
        <f t="shared" si="5"/>
        <v>230</v>
      </c>
      <c r="I88" s="355">
        <f t="shared" si="16"/>
        <v>505.99999999999994</v>
      </c>
      <c r="J88" s="356">
        <f t="shared" si="6"/>
        <v>230</v>
      </c>
      <c r="K88" s="355">
        <f t="shared" si="16"/>
        <v>505.99999999999994</v>
      </c>
      <c r="L88" s="356">
        <f t="shared" si="7"/>
        <v>230</v>
      </c>
      <c r="M88" s="355">
        <f t="shared" si="17"/>
        <v>505.99999999999994</v>
      </c>
      <c r="N88" s="356">
        <f t="shared" si="8"/>
        <v>230</v>
      </c>
      <c r="O88" s="355">
        <f t="shared" si="18"/>
        <v>505.99999999999994</v>
      </c>
      <c r="P88" s="356">
        <f t="shared" si="9"/>
        <v>230</v>
      </c>
      <c r="Q88" s="355">
        <f t="shared" si="19"/>
        <v>505.99999999999994</v>
      </c>
      <c r="R88" s="356">
        <f t="shared" si="10"/>
        <v>230</v>
      </c>
      <c r="S88" s="355">
        <f t="shared" si="20"/>
        <v>505.99999999999994</v>
      </c>
      <c r="T88" s="356">
        <f t="shared" si="11"/>
        <v>230</v>
      </c>
      <c r="U88" s="355">
        <f t="shared" si="21"/>
        <v>505.99999999999994</v>
      </c>
      <c r="V88" s="356">
        <f t="shared" si="22"/>
        <v>230</v>
      </c>
      <c r="W88" s="355">
        <f t="shared" si="23"/>
        <v>505.99999999999994</v>
      </c>
      <c r="X88" s="356">
        <f t="shared" si="46"/>
        <v>230</v>
      </c>
      <c r="Y88" s="355">
        <f t="shared" si="24"/>
        <v>505.99999999999994</v>
      </c>
      <c r="Z88" s="356">
        <f t="shared" si="25"/>
        <v>115</v>
      </c>
      <c r="AA88" s="355">
        <f t="shared" si="12"/>
        <v>252.99999999999997</v>
      </c>
      <c r="AB88" s="356">
        <f>$D88/2</f>
        <v>115</v>
      </c>
      <c r="AC88" s="355">
        <f>$F88/2</f>
        <v>252.99999999999997</v>
      </c>
      <c r="AD88" s="356">
        <f>$D88</f>
        <v>230</v>
      </c>
      <c r="AE88" s="355">
        <f>$F88</f>
        <v>505.99999999999994</v>
      </c>
      <c r="AF88" s="356">
        <f t="shared" si="47"/>
        <v>230</v>
      </c>
      <c r="AG88" s="355">
        <f t="shared" si="26"/>
        <v>505.99999999999994</v>
      </c>
      <c r="AH88" s="356">
        <f t="shared" si="47"/>
        <v>230</v>
      </c>
      <c r="AI88" s="355">
        <f>IF($D$65=1,$F88*2,$F88)</f>
        <v>505.99999999999994</v>
      </c>
      <c r="AJ88" s="356">
        <f t="shared" si="27"/>
        <v>230</v>
      </c>
      <c r="AK88" s="355">
        <f t="shared" si="28"/>
        <v>505.99999999999994</v>
      </c>
      <c r="AL88" s="356">
        <f t="shared" si="48"/>
        <v>230</v>
      </c>
      <c r="AM88" s="355">
        <f t="shared" si="29"/>
        <v>505.99999999999994</v>
      </c>
      <c r="AN88" s="356">
        <f>$D88</f>
        <v>230</v>
      </c>
      <c r="AO88" s="355">
        <f>$F88</f>
        <v>505.99999999999994</v>
      </c>
      <c r="AP88" s="356">
        <f>IF($D$65=3,$D88*2,$D88)</f>
        <v>230</v>
      </c>
      <c r="AQ88" s="355">
        <f>IF($D$65=3,$F88*2,$F88)</f>
        <v>505.99999999999994</v>
      </c>
      <c r="AR88" s="356">
        <f>IF($D$65=3,$D88*2,$D88)</f>
        <v>230</v>
      </c>
      <c r="AS88" s="355">
        <f>IF($D$65=3,$F88*2,$F88)</f>
        <v>505.99999999999994</v>
      </c>
      <c r="AT88" s="356">
        <f t="shared" si="30"/>
        <v>230</v>
      </c>
      <c r="AU88" s="355">
        <f t="shared" si="31"/>
        <v>505.99999999999994</v>
      </c>
      <c r="AV88" s="356">
        <f>IF($D$65=4,$D88*2,$D88/2)</f>
        <v>115</v>
      </c>
      <c r="AW88" s="355">
        <f>IF($D$65=4,$F88*2,$F88/2)</f>
        <v>252.99999999999997</v>
      </c>
      <c r="AX88" s="356">
        <f t="shared" si="54"/>
        <v>115</v>
      </c>
      <c r="AY88" s="355">
        <f>IF($D$65=4,$F88*2,$F88/2)</f>
        <v>252.99999999999997</v>
      </c>
      <c r="AZ88" s="356">
        <f t="shared" si="54"/>
        <v>115</v>
      </c>
      <c r="BA88" s="355">
        <f>IF($D$65=4,$F88*2,$F88/2)</f>
        <v>252.99999999999997</v>
      </c>
      <c r="BB88" s="356">
        <f t="shared" si="54"/>
        <v>115</v>
      </c>
      <c r="BC88" s="355">
        <f>IF($D$65=4,$F88*2,$F88/2)</f>
        <v>252.99999999999997</v>
      </c>
      <c r="BD88" s="356">
        <f t="shared" si="32"/>
        <v>230</v>
      </c>
      <c r="BE88" s="355">
        <f t="shared" si="33"/>
        <v>505.99999999999994</v>
      </c>
      <c r="BF88" s="356">
        <f>IF($D$65=3,$D88*2,$D88)</f>
        <v>230</v>
      </c>
      <c r="BG88" s="355">
        <f>IF($D$65=3,$F88*2,$F88)</f>
        <v>505.99999999999994</v>
      </c>
      <c r="BH88" s="356">
        <f>$D88</f>
        <v>230</v>
      </c>
      <c r="BI88" s="355">
        <f>$F88</f>
        <v>505.99999999999994</v>
      </c>
      <c r="BJ88" s="356">
        <f>$D88</f>
        <v>230</v>
      </c>
      <c r="BK88" s="355">
        <f>$F88</f>
        <v>505.99999999999994</v>
      </c>
      <c r="BL88" s="356">
        <f t="shared" si="34"/>
        <v>230</v>
      </c>
      <c r="BM88" s="355">
        <f t="shared" si="35"/>
        <v>505.99999999999994</v>
      </c>
      <c r="BN88" s="356">
        <f>IF($D$65=3,$D88*2,$D88)</f>
        <v>230</v>
      </c>
      <c r="BO88" s="355">
        <f>IF($D$65=3,$F88*2,$F88)</f>
        <v>505.99999999999994</v>
      </c>
      <c r="BP88" s="356">
        <f t="shared" si="13"/>
        <v>230</v>
      </c>
      <c r="BQ88" s="355">
        <f t="shared" si="36"/>
        <v>505.99999999999994</v>
      </c>
      <c r="BR88" s="356">
        <f t="shared" si="37"/>
        <v>230</v>
      </c>
      <c r="BS88" s="355">
        <f t="shared" si="38"/>
        <v>505.99999999999994</v>
      </c>
      <c r="BT88" s="354">
        <f t="shared" si="50"/>
        <v>230</v>
      </c>
      <c r="BU88" s="355">
        <f t="shared" si="39"/>
        <v>505.99999999999994</v>
      </c>
      <c r="BV88" s="356">
        <f t="shared" si="40"/>
        <v>230</v>
      </c>
      <c r="BW88" s="355">
        <f t="shared" si="41"/>
        <v>505.99999999999994</v>
      </c>
      <c r="BX88" s="356">
        <f>IF($D$65=2,$D88*2,$D88)</f>
        <v>230</v>
      </c>
      <c r="BY88" s="355">
        <f>IF($D$65=2,$F88*2,$F88)</f>
        <v>505.99999999999994</v>
      </c>
      <c r="BZ88" s="354">
        <f>$D88</f>
        <v>230</v>
      </c>
      <c r="CA88" s="355">
        <f>$F88</f>
        <v>505.99999999999994</v>
      </c>
      <c r="CB88" s="356">
        <f>$D88</f>
        <v>230</v>
      </c>
      <c r="CC88" s="355">
        <f>$F88</f>
        <v>505.99999999999994</v>
      </c>
      <c r="CD88" s="356">
        <f>IF($D$65=3,$D88*2,$D88)</f>
        <v>230</v>
      </c>
      <c r="CE88" s="355">
        <f>IF($D$65=3,$F88*2,$F88)</f>
        <v>505.99999999999994</v>
      </c>
      <c r="CF88" s="356">
        <f t="shared" si="51"/>
        <v>230</v>
      </c>
      <c r="CG88" s="355">
        <f t="shared" si="42"/>
        <v>505.99999999999994</v>
      </c>
      <c r="CH88" s="354">
        <f>$D88</f>
        <v>230</v>
      </c>
      <c r="CI88" s="355">
        <f>$F88</f>
        <v>505.99999999999994</v>
      </c>
      <c r="CJ88" s="356">
        <f>IF($D$65=1,$D88*2,$D88)</f>
        <v>230</v>
      </c>
      <c r="CK88" s="355">
        <f>IF($D$65=1,$F88*2,$F88)</f>
        <v>505.99999999999994</v>
      </c>
      <c r="CL88" s="356">
        <f>IF($D$65=2,$D88*2,$D88)</f>
        <v>230</v>
      </c>
      <c r="CM88" s="355">
        <f>IF($D$65=2,$F88*2,$F88)</f>
        <v>505.99999999999994</v>
      </c>
      <c r="CN88" s="354">
        <f t="shared" si="14"/>
        <v>230</v>
      </c>
      <c r="CO88" s="355">
        <f t="shared" si="43"/>
        <v>505.99999999999994</v>
      </c>
      <c r="CP88" s="356">
        <f t="shared" si="14"/>
        <v>230</v>
      </c>
      <c r="CQ88" s="355">
        <f t="shared" si="44"/>
        <v>505.99999999999994</v>
      </c>
      <c r="CR88" s="356">
        <f t="shared" si="14"/>
        <v>230</v>
      </c>
      <c r="CS88" s="355">
        <f t="shared" si="45"/>
        <v>505.99999999999994</v>
      </c>
    </row>
    <row r="89" spans="1:97" hidden="1"/>
    <row r="90" spans="1:97" hidden="1">
      <c r="G90" t="s">
        <v>31</v>
      </c>
      <c r="H90" s="620">
        <v>15</v>
      </c>
      <c r="I90" s="620"/>
      <c r="J90" s="620">
        <v>15</v>
      </c>
      <c r="K90" s="620"/>
      <c r="L90" s="620">
        <v>20</v>
      </c>
      <c r="M90" s="620"/>
      <c r="N90" s="620">
        <v>40</v>
      </c>
      <c r="O90" s="620"/>
      <c r="P90" s="620">
        <v>80</v>
      </c>
      <c r="Q90" s="620"/>
      <c r="R90" s="620">
        <v>105</v>
      </c>
      <c r="S90" s="620"/>
      <c r="T90" s="620">
        <v>20</v>
      </c>
      <c r="U90" s="620"/>
      <c r="V90" s="620">
        <v>210</v>
      </c>
      <c r="W90" s="620"/>
      <c r="X90" s="620">
        <v>70</v>
      </c>
      <c r="Y90" s="620"/>
      <c r="Z90" s="620">
        <v>300</v>
      </c>
      <c r="AA90" s="620"/>
      <c r="AB90" s="620">
        <v>2000</v>
      </c>
      <c r="AC90" s="620"/>
      <c r="AD90" s="620">
        <v>325</v>
      </c>
      <c r="AE90" s="620"/>
      <c r="AF90" s="620">
        <v>900</v>
      </c>
      <c r="AG90" s="620"/>
      <c r="AH90" s="620">
        <v>100</v>
      </c>
      <c r="AI90" s="620"/>
      <c r="AJ90" s="620">
        <v>600</v>
      </c>
      <c r="AK90" s="620"/>
      <c r="AL90" s="620">
        <v>1200</v>
      </c>
      <c r="AM90" s="620"/>
      <c r="AN90" s="620">
        <v>1300</v>
      </c>
      <c r="AO90" s="620"/>
      <c r="AP90" s="620">
        <v>680</v>
      </c>
      <c r="AQ90" s="620"/>
      <c r="AR90" s="620">
        <v>800</v>
      </c>
      <c r="AS90" s="620"/>
      <c r="AT90" s="620">
        <v>980</v>
      </c>
      <c r="AU90" s="620"/>
      <c r="AV90" s="620">
        <v>400</v>
      </c>
      <c r="AW90" s="620"/>
      <c r="AX90" s="620">
        <v>400</v>
      </c>
      <c r="AY90" s="620"/>
      <c r="AZ90" s="620">
        <v>400</v>
      </c>
      <c r="BA90" s="620"/>
      <c r="BB90" s="620">
        <v>400</v>
      </c>
      <c r="BC90" s="620"/>
      <c r="BD90" s="620">
        <v>1500</v>
      </c>
      <c r="BE90" s="620"/>
      <c r="BF90" s="620">
        <v>1000</v>
      </c>
      <c r="BG90" s="620"/>
      <c r="BH90" s="620">
        <v>3500</v>
      </c>
      <c r="BI90" s="620"/>
      <c r="BJ90" s="620">
        <v>3000</v>
      </c>
      <c r="BK90" s="620"/>
      <c r="BL90" s="620">
        <v>1700</v>
      </c>
      <c r="BM90" s="620"/>
      <c r="BN90" s="620">
        <v>1500</v>
      </c>
      <c r="BO90" s="620"/>
      <c r="BP90" s="620">
        <v>900</v>
      </c>
      <c r="BQ90" s="620"/>
      <c r="BR90" s="620">
        <v>5200</v>
      </c>
      <c r="BS90" s="620"/>
      <c r="BT90" s="620">
        <v>3000</v>
      </c>
      <c r="BU90" s="620"/>
      <c r="BV90" s="620">
        <v>4500</v>
      </c>
      <c r="BW90" s="620"/>
      <c r="BX90" s="620">
        <v>5600</v>
      </c>
      <c r="BY90" s="620"/>
      <c r="BZ90" s="620">
        <v>1500</v>
      </c>
      <c r="CA90" s="620"/>
      <c r="CB90" s="620">
        <v>7200</v>
      </c>
      <c r="CC90" s="620"/>
      <c r="CD90" s="620">
        <v>10000</v>
      </c>
      <c r="CE90" s="620"/>
      <c r="CF90" s="620">
        <v>800</v>
      </c>
      <c r="CG90" s="620"/>
      <c r="CH90" s="620">
        <v>1040</v>
      </c>
      <c r="CI90" s="620"/>
      <c r="CJ90" s="620">
        <v>790</v>
      </c>
      <c r="CK90" s="620"/>
      <c r="CL90" s="620">
        <v>950</v>
      </c>
      <c r="CM90" s="620"/>
      <c r="CN90" s="620">
        <v>14000</v>
      </c>
      <c r="CO90" s="620"/>
      <c r="CP90" s="620">
        <v>80</v>
      </c>
      <c r="CQ90" s="620"/>
      <c r="CR90" s="620">
        <v>100000</v>
      </c>
      <c r="CS90" s="620"/>
    </row>
    <row r="91" spans="1:97" hidden="1">
      <c r="G91" t="s">
        <v>32</v>
      </c>
      <c r="H91" s="620">
        <v>15</v>
      </c>
      <c r="I91" s="620"/>
      <c r="J91" s="620">
        <v>15</v>
      </c>
      <c r="K91" s="620"/>
      <c r="L91" s="620">
        <v>50</v>
      </c>
      <c r="M91" s="620"/>
      <c r="N91" s="620">
        <v>10</v>
      </c>
      <c r="O91" s="620"/>
      <c r="P91" s="620">
        <v>120</v>
      </c>
      <c r="Q91" s="620"/>
      <c r="R91" s="620">
        <v>130</v>
      </c>
      <c r="S91" s="620"/>
      <c r="T91" s="620">
        <v>50</v>
      </c>
      <c r="U91" s="620"/>
      <c r="V91" s="620">
        <v>150</v>
      </c>
      <c r="W91" s="620"/>
      <c r="X91" s="620">
        <v>110</v>
      </c>
      <c r="Y91" s="620"/>
      <c r="Z91" s="620">
        <v>450</v>
      </c>
      <c r="AA91" s="620"/>
      <c r="AB91" s="620">
        <v>5000</v>
      </c>
      <c r="AC91" s="620"/>
      <c r="AD91" s="620">
        <v>685</v>
      </c>
      <c r="AE91" s="620"/>
      <c r="AF91" s="620">
        <v>1400</v>
      </c>
      <c r="AG91" s="620"/>
      <c r="AH91" s="620">
        <v>120</v>
      </c>
      <c r="AI91" s="620"/>
      <c r="AJ91" s="620">
        <v>955</v>
      </c>
      <c r="AK91" s="620"/>
      <c r="AL91" s="620">
        <v>1050</v>
      </c>
      <c r="AM91" s="620"/>
      <c r="AN91" s="620">
        <v>1800</v>
      </c>
      <c r="AO91" s="620"/>
      <c r="AP91" s="620">
        <v>1305</v>
      </c>
      <c r="AQ91" s="620"/>
      <c r="AR91" s="620">
        <v>1050</v>
      </c>
      <c r="AS91" s="620"/>
      <c r="AT91" s="620">
        <v>950</v>
      </c>
      <c r="AU91" s="620"/>
      <c r="AV91" s="620">
        <v>600</v>
      </c>
      <c r="AW91" s="620"/>
      <c r="AX91" s="620">
        <v>600</v>
      </c>
      <c r="AY91" s="620"/>
      <c r="AZ91" s="620">
        <v>600</v>
      </c>
      <c r="BA91" s="620"/>
      <c r="BB91" s="620">
        <v>600</v>
      </c>
      <c r="BC91" s="620"/>
      <c r="BD91" s="620">
        <v>750</v>
      </c>
      <c r="BE91" s="620"/>
      <c r="BF91" s="620">
        <v>780</v>
      </c>
      <c r="BG91" s="620"/>
      <c r="BH91" s="620">
        <v>5000</v>
      </c>
      <c r="BI91" s="620"/>
      <c r="BJ91" s="620">
        <v>3200</v>
      </c>
      <c r="BK91" s="620"/>
      <c r="BL91" s="620">
        <v>3050</v>
      </c>
      <c r="BM91" s="620"/>
      <c r="BN91" s="620">
        <v>3200</v>
      </c>
      <c r="BO91" s="620"/>
      <c r="BP91" s="620">
        <v>2600</v>
      </c>
      <c r="BQ91" s="620"/>
      <c r="BR91" s="620">
        <v>4600</v>
      </c>
      <c r="BS91" s="620"/>
      <c r="BT91" s="620">
        <v>2800</v>
      </c>
      <c r="BU91" s="620"/>
      <c r="BV91" s="620">
        <v>6700</v>
      </c>
      <c r="BW91" s="620"/>
      <c r="BX91" s="620">
        <v>6400</v>
      </c>
      <c r="BY91" s="620"/>
      <c r="BZ91" s="620">
        <v>800</v>
      </c>
      <c r="CA91" s="620"/>
      <c r="CB91" s="620">
        <v>7100</v>
      </c>
      <c r="CC91" s="620"/>
      <c r="CD91" s="620">
        <v>17000</v>
      </c>
      <c r="CE91" s="620"/>
      <c r="CF91" s="620">
        <v>1000</v>
      </c>
      <c r="CG91" s="620"/>
      <c r="CH91" s="620">
        <v>970</v>
      </c>
      <c r="CI91" s="620"/>
      <c r="CJ91" s="620">
        <v>840</v>
      </c>
      <c r="CK91" s="620"/>
      <c r="CL91" s="620">
        <v>2000</v>
      </c>
      <c r="CM91" s="620"/>
      <c r="CN91" s="620">
        <v>10500</v>
      </c>
      <c r="CO91" s="620"/>
      <c r="CP91" s="620">
        <v>80</v>
      </c>
      <c r="CQ91" s="620"/>
      <c r="CR91" s="620">
        <v>100000</v>
      </c>
      <c r="CS91" s="620"/>
    </row>
    <row r="92" spans="1:97" hidden="1">
      <c r="G92" t="s">
        <v>374</v>
      </c>
      <c r="H92" s="620">
        <v>1</v>
      </c>
      <c r="I92" s="620"/>
      <c r="J92" s="620">
        <v>2</v>
      </c>
      <c r="K92" s="620"/>
      <c r="L92" s="620">
        <v>6</v>
      </c>
      <c r="M92" s="620"/>
      <c r="N92" s="620">
        <v>2</v>
      </c>
      <c r="O92" s="620"/>
      <c r="P92" s="620">
        <v>7</v>
      </c>
      <c r="Q92" s="620"/>
      <c r="R92" s="620">
        <v>9</v>
      </c>
      <c r="S92" s="620"/>
      <c r="T92" s="620">
        <v>10</v>
      </c>
      <c r="U92" s="620"/>
      <c r="V92" s="620">
        <v>12</v>
      </c>
      <c r="W92" s="620"/>
      <c r="X92" s="620">
        <v>12</v>
      </c>
      <c r="Y92" s="620"/>
      <c r="Z92" s="620">
        <v>20</v>
      </c>
      <c r="AA92" s="620"/>
      <c r="AB92" s="620">
        <v>80</v>
      </c>
      <c r="AC92" s="620"/>
      <c r="AD92" s="620">
        <v>20</v>
      </c>
      <c r="AE92" s="620"/>
      <c r="AF92" s="620">
        <v>60</v>
      </c>
      <c r="AG92" s="620"/>
      <c r="AH92" s="620">
        <v>12</v>
      </c>
      <c r="AI92" s="620"/>
      <c r="AJ92" s="620">
        <v>60</v>
      </c>
      <c r="AK92" s="620"/>
      <c r="AL92" s="620">
        <v>70</v>
      </c>
      <c r="AM92" s="620"/>
      <c r="AN92" s="620">
        <v>80</v>
      </c>
      <c r="AO92" s="620"/>
      <c r="AP92" s="620">
        <v>35</v>
      </c>
      <c r="AQ92" s="620"/>
      <c r="AR92" s="620">
        <v>40</v>
      </c>
      <c r="AS92" s="620"/>
      <c r="AT92" s="620">
        <v>50</v>
      </c>
      <c r="AU92" s="620"/>
      <c r="AV92" s="620">
        <v>30</v>
      </c>
      <c r="AW92" s="620"/>
      <c r="AX92" s="620">
        <v>30</v>
      </c>
      <c r="AY92" s="620"/>
      <c r="AZ92" s="620">
        <v>30</v>
      </c>
      <c r="BA92" s="620"/>
      <c r="BB92" s="620">
        <v>30</v>
      </c>
      <c r="BC92" s="620"/>
      <c r="BD92" s="620">
        <v>40</v>
      </c>
      <c r="BE92" s="620"/>
      <c r="BF92" s="620">
        <v>30</v>
      </c>
      <c r="BG92" s="620"/>
      <c r="BH92" s="620">
        <v>75</v>
      </c>
      <c r="BI92" s="620"/>
      <c r="BJ92" s="620">
        <v>75</v>
      </c>
      <c r="BK92" s="620"/>
      <c r="BL92" s="620">
        <v>60</v>
      </c>
      <c r="BM92" s="620"/>
      <c r="BN92" s="620">
        <v>50</v>
      </c>
      <c r="BO92" s="620"/>
      <c r="BP92" s="620">
        <v>60</v>
      </c>
      <c r="BQ92" s="620"/>
      <c r="BR92" s="620">
        <v>120</v>
      </c>
      <c r="BS92" s="620"/>
      <c r="BT92" s="620">
        <v>80</v>
      </c>
      <c r="BU92" s="620"/>
      <c r="BV92" s="620">
        <v>80</v>
      </c>
      <c r="BW92" s="620"/>
      <c r="BX92" s="620">
        <v>140</v>
      </c>
      <c r="BY92" s="620"/>
      <c r="BZ92" s="620">
        <v>20</v>
      </c>
      <c r="CA92" s="620"/>
      <c r="CB92" s="620">
        <v>130</v>
      </c>
      <c r="CC92" s="620"/>
      <c r="CD92" s="620">
        <v>200</v>
      </c>
      <c r="CE92" s="620"/>
      <c r="CF92" s="620">
        <v>30</v>
      </c>
      <c r="CG92" s="620"/>
      <c r="CH92" s="620">
        <v>30</v>
      </c>
      <c r="CI92" s="620"/>
      <c r="CJ92" s="620">
        <v>30</v>
      </c>
      <c r="CK92" s="620"/>
      <c r="CL92" s="620">
        <v>30</v>
      </c>
      <c r="CM92" s="620"/>
      <c r="CN92" s="620">
        <v>200</v>
      </c>
      <c r="CO92" s="620"/>
      <c r="CP92" s="620">
        <v>4</v>
      </c>
      <c r="CQ92" s="620"/>
      <c r="CR92" s="620">
        <v>800</v>
      </c>
      <c r="CS92" s="620"/>
    </row>
    <row r="93" spans="1:97" hidden="1"/>
    <row r="94" spans="1:97">
      <c r="B94" s="626" t="s">
        <v>742</v>
      </c>
      <c r="C94" s="626"/>
      <c r="D94" s="583" t="s">
        <v>745</v>
      </c>
      <c r="E94" s="583"/>
      <c r="F94" s="583"/>
      <c r="H94" s="96"/>
      <c r="I94" s="96"/>
    </row>
    <row r="95" spans="1:97">
      <c r="A95" s="29"/>
      <c r="B95" s="326" t="s">
        <v>743</v>
      </c>
      <c r="C95" s="326" t="s">
        <v>744</v>
      </c>
      <c r="D95" s="342" t="s">
        <v>743</v>
      </c>
      <c r="E95" s="343" t="s">
        <v>746</v>
      </c>
      <c r="F95" s="363" t="s">
        <v>744</v>
      </c>
      <c r="G95" s="29"/>
      <c r="H95" s="603" t="s">
        <v>33</v>
      </c>
      <c r="I95" s="604"/>
      <c r="J95" s="603" t="s">
        <v>37</v>
      </c>
      <c r="K95" s="604"/>
      <c r="L95" s="603" t="s">
        <v>35</v>
      </c>
      <c r="M95" s="604"/>
      <c r="N95" s="603" t="s">
        <v>36</v>
      </c>
      <c r="O95" s="604"/>
      <c r="P95" s="603" t="s">
        <v>405</v>
      </c>
      <c r="Q95" s="604"/>
      <c r="R95" s="603" t="s">
        <v>38</v>
      </c>
      <c r="S95" s="604"/>
      <c r="T95" s="603" t="s">
        <v>572</v>
      </c>
      <c r="U95" s="604"/>
      <c r="V95" s="603" t="s">
        <v>406</v>
      </c>
      <c r="W95" s="604"/>
      <c r="X95" s="603" t="s">
        <v>749</v>
      </c>
      <c r="Y95" s="604"/>
      <c r="Z95" s="603" t="s">
        <v>39</v>
      </c>
      <c r="AA95" s="604"/>
      <c r="AB95" s="603" t="s">
        <v>750</v>
      </c>
      <c r="AC95" s="604"/>
      <c r="AD95" s="603" t="s">
        <v>751</v>
      </c>
      <c r="AE95" s="604"/>
      <c r="AF95" s="603" t="s">
        <v>40</v>
      </c>
      <c r="AG95" s="604"/>
      <c r="AH95" s="603" t="s">
        <v>567</v>
      </c>
      <c r="AI95" s="604"/>
      <c r="AJ95" s="603" t="s">
        <v>41</v>
      </c>
      <c r="AK95" s="604"/>
      <c r="AL95" s="603" t="s">
        <v>42</v>
      </c>
      <c r="AM95" s="604"/>
      <c r="AN95" s="603" t="s">
        <v>590</v>
      </c>
      <c r="AO95" s="604"/>
      <c r="AP95" s="603" t="s">
        <v>43</v>
      </c>
      <c r="AQ95" s="604"/>
      <c r="AR95" s="603" t="s">
        <v>566</v>
      </c>
      <c r="AS95" s="604"/>
      <c r="AT95" s="603" t="s">
        <v>44</v>
      </c>
      <c r="AU95" s="604"/>
      <c r="AV95" s="603" t="s">
        <v>754</v>
      </c>
      <c r="AW95" s="604"/>
      <c r="AX95" s="603" t="s">
        <v>755</v>
      </c>
      <c r="AY95" s="604"/>
      <c r="AZ95" s="603" t="s">
        <v>756</v>
      </c>
      <c r="BA95" s="604"/>
      <c r="BB95" s="603" t="s">
        <v>757</v>
      </c>
      <c r="BC95" s="604"/>
      <c r="BD95" s="603" t="s">
        <v>45</v>
      </c>
      <c r="BE95" s="604"/>
      <c r="BF95" s="603" t="s">
        <v>752</v>
      </c>
      <c r="BG95" s="604"/>
      <c r="BH95" s="603" t="s">
        <v>46</v>
      </c>
      <c r="BI95" s="604"/>
      <c r="BJ95" s="603" t="s">
        <v>47</v>
      </c>
      <c r="BK95" s="604"/>
      <c r="BL95" s="603" t="s">
        <v>48</v>
      </c>
      <c r="BM95" s="604"/>
      <c r="BN95" s="603" t="s">
        <v>570</v>
      </c>
      <c r="BO95" s="604"/>
      <c r="BP95" s="603" t="s">
        <v>595</v>
      </c>
      <c r="BQ95" s="604"/>
      <c r="BR95" s="603" t="s">
        <v>51</v>
      </c>
      <c r="BS95" s="604"/>
      <c r="BT95" s="603" t="s">
        <v>568</v>
      </c>
      <c r="BU95" s="604"/>
      <c r="BV95" s="603" t="s">
        <v>49</v>
      </c>
      <c r="BW95" s="604"/>
      <c r="BX95" s="603" t="s">
        <v>565</v>
      </c>
      <c r="BY95" s="604"/>
      <c r="BZ95" s="603" t="s">
        <v>57</v>
      </c>
      <c r="CA95" s="604"/>
      <c r="CB95" s="603" t="s">
        <v>50</v>
      </c>
      <c r="CC95" s="604"/>
      <c r="CD95" s="603" t="s">
        <v>618</v>
      </c>
      <c r="CE95" s="604"/>
      <c r="CF95" s="603" t="s">
        <v>619</v>
      </c>
      <c r="CG95" s="604"/>
      <c r="CH95" s="603" t="s">
        <v>52</v>
      </c>
      <c r="CI95" s="604"/>
      <c r="CJ95" s="603" t="s">
        <v>53</v>
      </c>
      <c r="CK95" s="604"/>
      <c r="CL95" s="603" t="s">
        <v>54</v>
      </c>
      <c r="CM95" s="604"/>
      <c r="CN95" s="603" t="s">
        <v>55</v>
      </c>
      <c r="CO95" s="604"/>
      <c r="CP95" s="603" t="s">
        <v>628</v>
      </c>
      <c r="CQ95" s="604"/>
      <c r="CR95" s="603" t="s">
        <v>629</v>
      </c>
      <c r="CS95" s="604"/>
    </row>
    <row r="96" spans="1:97" s="25" customFormat="1">
      <c r="A96" s="107" t="s">
        <v>121</v>
      </c>
      <c r="B96" s="239">
        <v>5</v>
      </c>
      <c r="C96" s="239">
        <v>10</v>
      </c>
      <c r="D96" s="344">
        <f t="shared" ref="D96:D113" si="55">ROUNDDOWN(B96*(1+$D$64*0.1),0)</f>
        <v>11</v>
      </c>
      <c r="E96" s="345">
        <f>AVERAGE(D96,F96)</f>
        <v>17</v>
      </c>
      <c r="F96" s="347">
        <f t="shared" ref="F96:F113" si="56">C96*(1+$D$64*0.1)</f>
        <v>23</v>
      </c>
      <c r="H96" s="357">
        <f>H71/H$91</f>
        <v>0.73333333333333328</v>
      </c>
      <c r="I96" s="358">
        <f>I71/H$91</f>
        <v>1.5333333333333334</v>
      </c>
      <c r="J96" s="359">
        <f>J71/J$91</f>
        <v>0.73333333333333328</v>
      </c>
      <c r="K96" s="358">
        <f>K71/J$91</f>
        <v>1.5333333333333334</v>
      </c>
      <c r="L96" s="359">
        <f t="shared" ref="L96:L113" si="57">L71/L$91</f>
        <v>0.22</v>
      </c>
      <c r="M96" s="358">
        <f t="shared" ref="M96:M113" si="58">M71/L$91</f>
        <v>0.46</v>
      </c>
      <c r="N96" s="359">
        <f t="shared" ref="N96:CR96" si="59">N71/N$91</f>
        <v>1.1000000000000001</v>
      </c>
      <c r="O96" s="358">
        <f t="shared" ref="O96:O113" si="60">O71/N$91</f>
        <v>2.2999999999999998</v>
      </c>
      <c r="P96" s="359">
        <f t="shared" si="59"/>
        <v>9.166666666666666E-2</v>
      </c>
      <c r="Q96" s="358">
        <f t="shared" ref="Q96:Q113" si="61">Q71/P$91</f>
        <v>0.19166666666666668</v>
      </c>
      <c r="R96" s="359">
        <f t="shared" si="59"/>
        <v>8.461538461538462E-2</v>
      </c>
      <c r="S96" s="358">
        <f t="shared" ref="S96:S113" si="62">S71/R$91</f>
        <v>0.17692307692307693</v>
      </c>
      <c r="T96" s="359">
        <f t="shared" si="59"/>
        <v>0.22</v>
      </c>
      <c r="U96" s="358">
        <f t="shared" ref="U96:U113" si="63">U71/T$91</f>
        <v>0.46</v>
      </c>
      <c r="V96" s="359">
        <f t="shared" si="59"/>
        <v>7.3333333333333334E-2</v>
      </c>
      <c r="W96" s="358">
        <f t="shared" ref="W96:W113" si="64">W71/V$91</f>
        <v>0.15333333333333332</v>
      </c>
      <c r="X96" s="359">
        <f t="shared" si="59"/>
        <v>0.1</v>
      </c>
      <c r="Y96" s="358">
        <f t="shared" ref="Y96:Y113" si="65">Y71/X$91</f>
        <v>0.20909090909090908</v>
      </c>
      <c r="Z96" s="359">
        <f t="shared" si="59"/>
        <v>1.2222222222222223E-2</v>
      </c>
      <c r="AA96" s="358">
        <f t="shared" ref="AA96:AA113" si="66">AA71/Z$91</f>
        <v>2.5555555555555557E-2</v>
      </c>
      <c r="AB96" s="359">
        <f t="shared" si="59"/>
        <v>2.7500000000000002E-4</v>
      </c>
      <c r="AC96" s="358">
        <f t="shared" ref="AC96:AC113" si="67">AC71/AB$91</f>
        <v>5.7499999999999999E-4</v>
      </c>
      <c r="AD96" s="359">
        <f t="shared" si="59"/>
        <v>1.6058394160583942E-2</v>
      </c>
      <c r="AE96" s="358">
        <f t="shared" ref="AE96:AE113" si="68">AE71/AD$91</f>
        <v>3.3576642335766425E-2</v>
      </c>
      <c r="AF96" s="359">
        <f t="shared" si="59"/>
        <v>7.8571428571428577E-3</v>
      </c>
      <c r="AG96" s="358">
        <f t="shared" ref="AG96:AG113" si="69">AG71/AF$91</f>
        <v>1.6428571428571428E-2</v>
      </c>
      <c r="AH96" s="359">
        <f t="shared" si="59"/>
        <v>2.2916666666666665E-2</v>
      </c>
      <c r="AI96" s="358">
        <f t="shared" ref="AI96:AI113" si="70">AI71/AH$91</f>
        <v>4.791666666666667E-2</v>
      </c>
      <c r="AJ96" s="359">
        <f t="shared" si="59"/>
        <v>1.1518324607329843E-2</v>
      </c>
      <c r="AK96" s="358">
        <f t="shared" ref="AK96:AK113" si="71">AK71/AJ$91</f>
        <v>2.4083769633507852E-2</v>
      </c>
      <c r="AL96" s="359">
        <f t="shared" si="59"/>
        <v>1.0476190476190476E-2</v>
      </c>
      <c r="AM96" s="358">
        <f t="shared" ref="AM96:AM113" si="72">AM71/AL$91</f>
        <v>2.1904761904761906E-2</v>
      </c>
      <c r="AN96" s="359">
        <f t="shared" si="59"/>
        <v>1.5277777777777779E-3</v>
      </c>
      <c r="AO96" s="358">
        <f t="shared" ref="AO96:AO113" si="73">AO71/AN$91</f>
        <v>3.1944444444444446E-3</v>
      </c>
      <c r="AP96" s="359">
        <f t="shared" si="59"/>
        <v>2.528735632183908E-2</v>
      </c>
      <c r="AQ96" s="358">
        <f t="shared" ref="AQ96:AQ113" si="74">AQ71/AP$91</f>
        <v>5.2873563218390804E-2</v>
      </c>
      <c r="AR96" s="359">
        <f t="shared" si="59"/>
        <v>2.6190476190476189E-3</v>
      </c>
      <c r="AS96" s="358">
        <f t="shared" ref="AS96:AS113" si="75">AS71/AR$91</f>
        <v>5.4761904761904765E-3</v>
      </c>
      <c r="AT96" s="359">
        <f t="shared" si="59"/>
        <v>1.1578947368421053E-2</v>
      </c>
      <c r="AU96" s="358">
        <f t="shared" ref="AU96:AU113" si="76">AU71/AT$91</f>
        <v>2.4210526315789474E-2</v>
      </c>
      <c r="AV96" s="359">
        <f t="shared" si="59"/>
        <v>9.1666666666666667E-3</v>
      </c>
      <c r="AW96" s="358">
        <f t="shared" ref="AW96:AW113" si="77">AW71/AV$91</f>
        <v>1.9166666666666665E-2</v>
      </c>
      <c r="AX96" s="359">
        <f t="shared" si="59"/>
        <v>2.2916666666666667E-3</v>
      </c>
      <c r="AY96" s="358">
        <f t="shared" ref="AY96:AY113" si="78">AY71/AX$91</f>
        <v>4.7916666666666663E-3</v>
      </c>
      <c r="AZ96" s="359">
        <f t="shared" si="59"/>
        <v>2.2916666666666667E-3</v>
      </c>
      <c r="BA96" s="358">
        <f t="shared" ref="BA96:BA113" si="79">BA71/AZ$91</f>
        <v>4.7916666666666663E-3</v>
      </c>
      <c r="BB96" s="359">
        <f t="shared" si="59"/>
        <v>2.75E-2</v>
      </c>
      <c r="BC96" s="358">
        <f t="shared" ref="BC96:BC113" si="80">BC71/BB$91</f>
        <v>5.7500000000000002E-2</v>
      </c>
      <c r="BD96" s="359">
        <f t="shared" si="59"/>
        <v>1.4666666666666666E-2</v>
      </c>
      <c r="BE96" s="358">
        <f t="shared" ref="BE96:BE113" si="81">BE71/BD$91</f>
        <v>3.0666666666666665E-2</v>
      </c>
      <c r="BF96" s="359">
        <f t="shared" si="59"/>
        <v>3.5256410256410257E-3</v>
      </c>
      <c r="BG96" s="358">
        <f t="shared" ref="BG96:BG113" si="82">BG71/BF$91</f>
        <v>7.3717948717948716E-3</v>
      </c>
      <c r="BH96" s="359">
        <f t="shared" si="59"/>
        <v>5.5000000000000003E-4</v>
      </c>
      <c r="BI96" s="358">
        <f t="shared" ref="BI96:BI113" si="83">BI71/BH$91</f>
        <v>1.15E-3</v>
      </c>
      <c r="BJ96" s="359">
        <f t="shared" si="59"/>
        <v>8.59375E-4</v>
      </c>
      <c r="BK96" s="358">
        <f t="shared" ref="BK96:BK113" si="84">BK71/BJ$91</f>
        <v>1.7968750000000001E-3</v>
      </c>
      <c r="BL96" s="359">
        <f t="shared" si="59"/>
        <v>3.6065573770491803E-3</v>
      </c>
      <c r="BM96" s="358">
        <f t="shared" ref="BM96:BM113" si="85">BM71/BL$91</f>
        <v>7.5409836065573775E-3</v>
      </c>
      <c r="BN96" s="359">
        <f t="shared" si="59"/>
        <v>1.03125E-2</v>
      </c>
      <c r="BO96" s="358">
        <f t="shared" ref="BO96:BO113" si="86">BO71/BN$91</f>
        <v>2.1562499999999998E-2</v>
      </c>
      <c r="BP96" s="359">
        <f t="shared" si="59"/>
        <v>4.2307692307692307E-3</v>
      </c>
      <c r="BQ96" s="358">
        <f t="shared" ref="BQ96:BQ113" si="87">BQ71/BP$91</f>
        <v>8.8461538461538456E-3</v>
      </c>
      <c r="BR96" s="359">
        <f t="shared" si="59"/>
        <v>2.3913043478260869E-3</v>
      </c>
      <c r="BS96" s="358">
        <f t="shared" ref="BS96:BS113" si="88">BS71/BR$91</f>
        <v>5.0000000000000001E-3</v>
      </c>
      <c r="BT96" s="357">
        <f t="shared" si="59"/>
        <v>3.9285714285714288E-3</v>
      </c>
      <c r="BU96" s="358">
        <f t="shared" ref="BU96:BU113" si="89">BU71/BT$91</f>
        <v>8.2142857142857139E-3</v>
      </c>
      <c r="BV96" s="359">
        <f t="shared" si="59"/>
        <v>1.6417910447761193E-3</v>
      </c>
      <c r="BW96" s="358">
        <f t="shared" ref="BW96:BW113" si="90">BW71/BV$91</f>
        <v>3.4328358208955225E-3</v>
      </c>
      <c r="BX96" s="359">
        <f t="shared" si="59"/>
        <v>1.2890625000000001E-3</v>
      </c>
      <c r="BY96" s="358">
        <f t="shared" ref="BY96:BY113" si="91">BY71/BX$91</f>
        <v>2.6953124999999998E-3</v>
      </c>
      <c r="BZ96" s="357">
        <f t="shared" si="59"/>
        <v>1.375E-2</v>
      </c>
      <c r="CA96" s="358">
        <f t="shared" ref="CA96:CA113" si="92">CA71/BZ$91</f>
        <v>2.8750000000000001E-2</v>
      </c>
      <c r="CB96" s="359">
        <f t="shared" si="59"/>
        <v>4.6478873239436617E-3</v>
      </c>
      <c r="CC96" s="358">
        <f t="shared" ref="CC96:CC113" si="93">CC71/CB$91</f>
        <v>9.7183098591549291E-3</v>
      </c>
      <c r="CD96" s="359">
        <f t="shared" si="59"/>
        <v>1.6176470588235295E-4</v>
      </c>
      <c r="CE96" s="358">
        <f t="shared" ref="CE96:CE113" si="94">CE71/CD$91</f>
        <v>3.3823529411764706E-4</v>
      </c>
      <c r="CF96" s="359">
        <f t="shared" si="59"/>
        <v>1.0999999999999999E-2</v>
      </c>
      <c r="CG96" s="358">
        <f t="shared" ref="CG96:CG113" si="95">CG71/CF$91</f>
        <v>2.3E-2</v>
      </c>
      <c r="CH96" s="357">
        <f t="shared" si="59"/>
        <v>1.134020618556701E-2</v>
      </c>
      <c r="CI96" s="358">
        <f t="shared" ref="CI96:CI113" si="96">CI71/CH$91</f>
        <v>2.3711340206185566E-2</v>
      </c>
      <c r="CJ96" s="359">
        <f t="shared" si="59"/>
        <v>3.9285714285714285E-2</v>
      </c>
      <c r="CK96" s="358">
        <f t="shared" ref="CK96:CK113" si="97">CK71/CJ$91</f>
        <v>8.2142857142857142E-2</v>
      </c>
      <c r="CL96" s="359">
        <f t="shared" si="59"/>
        <v>1.3749999999999999E-3</v>
      </c>
      <c r="CM96" s="358">
        <f t="shared" ref="CM96:CM113" si="98">CM71/CL$91</f>
        <v>2.875E-3</v>
      </c>
      <c r="CN96" s="357">
        <f t="shared" si="59"/>
        <v>1.0476190476190477E-3</v>
      </c>
      <c r="CO96" s="358">
        <f t="shared" ref="CO96:CO113" si="99">CO71/CN$91</f>
        <v>2.1904761904761906E-3</v>
      </c>
      <c r="CP96" s="359">
        <f t="shared" si="59"/>
        <v>0.13750000000000001</v>
      </c>
      <c r="CQ96" s="358">
        <f t="shared" ref="CQ96:CQ113" si="100">CQ71/CP$91</f>
        <v>0.28749999999999998</v>
      </c>
      <c r="CR96" s="359">
        <f t="shared" si="59"/>
        <v>1.1E-4</v>
      </c>
      <c r="CS96" s="366">
        <f t="shared" ref="CS96:CS113" si="101">CS71/CR$91</f>
        <v>2.3000000000000001E-4</v>
      </c>
    </row>
    <row r="97" spans="1:97" s="25" customFormat="1">
      <c r="A97" s="339" t="s">
        <v>124</v>
      </c>
      <c r="B97" s="239">
        <v>25</v>
      </c>
      <c r="C97" s="239">
        <v>30</v>
      </c>
      <c r="D97" s="344">
        <f t="shared" si="55"/>
        <v>57</v>
      </c>
      <c r="E97" s="345">
        <f t="shared" ref="E97:E113" si="102">AVERAGE(D97,F97)</f>
        <v>63</v>
      </c>
      <c r="F97" s="347">
        <f t="shared" si="56"/>
        <v>69</v>
      </c>
      <c r="H97" s="357">
        <f t="shared" ref="H97:J113" si="103">H72/H$91</f>
        <v>3.8</v>
      </c>
      <c r="I97" s="358">
        <f t="shared" ref="I97:K113" si="104">I72/H$91</f>
        <v>4.5999999999999996</v>
      </c>
      <c r="J97" s="359">
        <f t="shared" si="103"/>
        <v>3.8</v>
      </c>
      <c r="K97" s="358">
        <f t="shared" si="104"/>
        <v>4.5999999999999996</v>
      </c>
      <c r="L97" s="359">
        <f t="shared" si="57"/>
        <v>1.1399999999999999</v>
      </c>
      <c r="M97" s="358">
        <f t="shared" si="58"/>
        <v>1.38</v>
      </c>
      <c r="N97" s="359">
        <f t="shared" ref="N97:N113" si="105">N72/N$91</f>
        <v>5.7</v>
      </c>
      <c r="O97" s="358">
        <f t="shared" si="60"/>
        <v>6.9</v>
      </c>
      <c r="P97" s="359">
        <f t="shared" ref="P97:P113" si="106">P72/P$91</f>
        <v>0.47499999999999998</v>
      </c>
      <c r="Q97" s="358">
        <f t="shared" si="61"/>
        <v>0.57499999999999996</v>
      </c>
      <c r="R97" s="359">
        <f t="shared" ref="R97:CR97" si="107">R72/R$91</f>
        <v>0.43846153846153846</v>
      </c>
      <c r="S97" s="358">
        <f t="shared" si="62"/>
        <v>0.53076923076923077</v>
      </c>
      <c r="T97" s="359">
        <f t="shared" si="107"/>
        <v>1.1399999999999999</v>
      </c>
      <c r="U97" s="358">
        <f t="shared" si="63"/>
        <v>1.38</v>
      </c>
      <c r="V97" s="359">
        <f t="shared" si="107"/>
        <v>0.38</v>
      </c>
      <c r="W97" s="358">
        <f t="shared" si="64"/>
        <v>0.46</v>
      </c>
      <c r="X97" s="359">
        <f t="shared" si="107"/>
        <v>0.51818181818181819</v>
      </c>
      <c r="Y97" s="358">
        <f t="shared" si="65"/>
        <v>0.62727272727272732</v>
      </c>
      <c r="Z97" s="359">
        <f t="shared" si="107"/>
        <v>6.3333333333333339E-2</v>
      </c>
      <c r="AA97" s="358">
        <f t="shared" si="66"/>
        <v>7.6666666666666661E-2</v>
      </c>
      <c r="AB97" s="359">
        <f t="shared" si="107"/>
        <v>1.4250000000000001E-3</v>
      </c>
      <c r="AC97" s="358">
        <f t="shared" si="67"/>
        <v>1.725E-3</v>
      </c>
      <c r="AD97" s="359">
        <f t="shared" si="107"/>
        <v>0.24963503649635035</v>
      </c>
      <c r="AE97" s="358">
        <f t="shared" si="68"/>
        <v>0.30218978102189781</v>
      </c>
      <c r="AF97" s="359">
        <f t="shared" si="107"/>
        <v>4.0714285714285717E-2</v>
      </c>
      <c r="AG97" s="358">
        <f t="shared" si="69"/>
        <v>4.9285714285714287E-2</v>
      </c>
      <c r="AH97" s="359">
        <f t="shared" si="107"/>
        <v>0.47499999999999998</v>
      </c>
      <c r="AI97" s="358">
        <f t="shared" si="70"/>
        <v>0.57499999999999996</v>
      </c>
      <c r="AJ97" s="359">
        <f t="shared" si="107"/>
        <v>5.9685863874345553E-2</v>
      </c>
      <c r="AK97" s="358">
        <f t="shared" si="71"/>
        <v>7.2251308900523559E-2</v>
      </c>
      <c r="AL97" s="359">
        <f t="shared" si="107"/>
        <v>5.4285714285714284E-2</v>
      </c>
      <c r="AM97" s="358">
        <f t="shared" si="72"/>
        <v>6.5714285714285711E-2</v>
      </c>
      <c r="AN97" s="359">
        <f t="shared" si="107"/>
        <v>2.375E-2</v>
      </c>
      <c r="AO97" s="358">
        <f t="shared" si="73"/>
        <v>2.8750000000000001E-2</v>
      </c>
      <c r="AP97" s="359">
        <f t="shared" si="107"/>
        <v>1.0919540229885057E-2</v>
      </c>
      <c r="AQ97" s="358">
        <f t="shared" si="74"/>
        <v>1.3218390804597701E-2</v>
      </c>
      <c r="AR97" s="359">
        <f t="shared" si="107"/>
        <v>1.3571428571428571E-2</v>
      </c>
      <c r="AS97" s="358">
        <f t="shared" si="75"/>
        <v>1.6428571428571428E-2</v>
      </c>
      <c r="AT97" s="359">
        <f t="shared" si="107"/>
        <v>0.06</v>
      </c>
      <c r="AU97" s="358">
        <f t="shared" si="76"/>
        <v>7.2631578947368422E-2</v>
      </c>
      <c r="AV97" s="359">
        <f t="shared" si="107"/>
        <v>0.14249999999999999</v>
      </c>
      <c r="AW97" s="358">
        <f t="shared" si="77"/>
        <v>0.17249999999999999</v>
      </c>
      <c r="AX97" s="359">
        <f t="shared" si="107"/>
        <v>4.7500000000000001E-2</v>
      </c>
      <c r="AY97" s="358">
        <f t="shared" si="78"/>
        <v>5.7500000000000002E-2</v>
      </c>
      <c r="AZ97" s="359">
        <f t="shared" si="107"/>
        <v>1.1875E-2</v>
      </c>
      <c r="BA97" s="358">
        <f t="shared" si="79"/>
        <v>1.4375000000000001E-2</v>
      </c>
      <c r="BB97" s="359">
        <f t="shared" si="107"/>
        <v>1.1875E-2</v>
      </c>
      <c r="BC97" s="358">
        <f t="shared" si="80"/>
        <v>1.4375000000000001E-2</v>
      </c>
      <c r="BD97" s="359">
        <f t="shared" si="107"/>
        <v>7.5999999999999998E-2</v>
      </c>
      <c r="BE97" s="358">
        <f t="shared" si="81"/>
        <v>9.1999999999999998E-2</v>
      </c>
      <c r="BF97" s="359">
        <f t="shared" si="107"/>
        <v>1.826923076923077E-2</v>
      </c>
      <c r="BG97" s="358">
        <f t="shared" si="82"/>
        <v>2.2115384615384617E-2</v>
      </c>
      <c r="BH97" s="359">
        <f t="shared" si="107"/>
        <v>1.14E-2</v>
      </c>
      <c r="BI97" s="358">
        <f t="shared" si="83"/>
        <v>1.38E-2</v>
      </c>
      <c r="BJ97" s="359">
        <f t="shared" si="107"/>
        <v>4.4531249999999996E-3</v>
      </c>
      <c r="BK97" s="358">
        <f t="shared" si="84"/>
        <v>5.3906249999999996E-3</v>
      </c>
      <c r="BL97" s="359">
        <f t="shared" si="107"/>
        <v>1.8688524590163933E-2</v>
      </c>
      <c r="BM97" s="358">
        <f t="shared" si="85"/>
        <v>2.2622950819672132E-2</v>
      </c>
      <c r="BN97" s="359">
        <f t="shared" si="107"/>
        <v>4.4531249999999996E-3</v>
      </c>
      <c r="BO97" s="358">
        <f t="shared" si="86"/>
        <v>5.3906249999999996E-3</v>
      </c>
      <c r="BP97" s="359">
        <f t="shared" si="107"/>
        <v>2.1923076923076924E-2</v>
      </c>
      <c r="BQ97" s="358">
        <f t="shared" si="87"/>
        <v>2.6538461538461539E-2</v>
      </c>
      <c r="BR97" s="359">
        <f t="shared" si="107"/>
        <v>1.2391304347826086E-2</v>
      </c>
      <c r="BS97" s="358">
        <f t="shared" si="88"/>
        <v>1.4999999999999999E-2</v>
      </c>
      <c r="BT97" s="357">
        <f t="shared" si="107"/>
        <v>2.0357142857142858E-2</v>
      </c>
      <c r="BU97" s="358">
        <f t="shared" si="89"/>
        <v>2.4642857142857143E-2</v>
      </c>
      <c r="BV97" s="359">
        <f t="shared" si="107"/>
        <v>8.5074626865671646E-3</v>
      </c>
      <c r="BW97" s="358">
        <f t="shared" si="90"/>
        <v>1.0298507462686568E-2</v>
      </c>
      <c r="BX97" s="359">
        <f t="shared" si="107"/>
        <v>2.2265624999999998E-3</v>
      </c>
      <c r="BY97" s="358">
        <f t="shared" si="91"/>
        <v>2.6953124999999998E-3</v>
      </c>
      <c r="BZ97" s="357">
        <f t="shared" si="107"/>
        <v>0.21375</v>
      </c>
      <c r="CA97" s="358">
        <f t="shared" si="92"/>
        <v>0.25874999999999998</v>
      </c>
      <c r="CB97" s="359">
        <f t="shared" si="107"/>
        <v>2.0070422535211269E-3</v>
      </c>
      <c r="CC97" s="358">
        <f t="shared" si="93"/>
        <v>2.4295774647887323E-3</v>
      </c>
      <c r="CD97" s="359">
        <f t="shared" si="107"/>
        <v>8.3823529411764701E-4</v>
      </c>
      <c r="CE97" s="358">
        <f t="shared" si="94"/>
        <v>1.0147058823529412E-3</v>
      </c>
      <c r="CF97" s="359">
        <f t="shared" si="107"/>
        <v>5.7000000000000002E-2</v>
      </c>
      <c r="CG97" s="358">
        <f t="shared" si="95"/>
        <v>6.9000000000000006E-2</v>
      </c>
      <c r="CH97" s="357">
        <f t="shared" si="107"/>
        <v>0.17628865979381445</v>
      </c>
      <c r="CI97" s="358">
        <f t="shared" si="96"/>
        <v>0.21340206185567009</v>
      </c>
      <c r="CJ97" s="359">
        <f t="shared" si="107"/>
        <v>1.6964285714285713E-2</v>
      </c>
      <c r="CK97" s="358">
        <f t="shared" si="97"/>
        <v>2.0535714285714286E-2</v>
      </c>
      <c r="CL97" s="359">
        <f t="shared" si="107"/>
        <v>7.1250000000000003E-3</v>
      </c>
      <c r="CM97" s="358">
        <f t="shared" si="98"/>
        <v>8.6250000000000007E-3</v>
      </c>
      <c r="CN97" s="357">
        <f t="shared" si="107"/>
        <v>5.4285714285714284E-3</v>
      </c>
      <c r="CO97" s="358">
        <f t="shared" si="99"/>
        <v>6.5714285714285718E-3</v>
      </c>
      <c r="CP97" s="359">
        <f t="shared" si="107"/>
        <v>0.71250000000000002</v>
      </c>
      <c r="CQ97" s="358">
        <f t="shared" si="100"/>
        <v>0.86250000000000004</v>
      </c>
      <c r="CR97" s="359">
        <f t="shared" si="107"/>
        <v>5.6999999999999998E-4</v>
      </c>
      <c r="CS97" s="366">
        <f t="shared" si="101"/>
        <v>6.8999999999999997E-4</v>
      </c>
    </row>
    <row r="98" spans="1:97" s="25" customFormat="1">
      <c r="A98" s="340" t="s">
        <v>522</v>
      </c>
      <c r="B98" s="239">
        <v>15</v>
      </c>
      <c r="C98" s="239">
        <v>30</v>
      </c>
      <c r="D98" s="344">
        <f t="shared" si="55"/>
        <v>34</v>
      </c>
      <c r="E98" s="345">
        <f t="shared" si="102"/>
        <v>51.5</v>
      </c>
      <c r="F98" s="347">
        <f t="shared" si="56"/>
        <v>69</v>
      </c>
      <c r="H98" s="357">
        <f t="shared" si="103"/>
        <v>2.2666666666666666</v>
      </c>
      <c r="I98" s="358">
        <f t="shared" si="104"/>
        <v>4.5999999999999996</v>
      </c>
      <c r="J98" s="359">
        <f t="shared" si="103"/>
        <v>2.2666666666666666</v>
      </c>
      <c r="K98" s="358">
        <f t="shared" si="104"/>
        <v>4.5999999999999996</v>
      </c>
      <c r="L98" s="359">
        <f t="shared" si="57"/>
        <v>0.68</v>
      </c>
      <c r="M98" s="358">
        <f t="shared" si="58"/>
        <v>1.38</v>
      </c>
      <c r="N98" s="359">
        <f t="shared" si="105"/>
        <v>3.4</v>
      </c>
      <c r="O98" s="358">
        <f t="shared" si="60"/>
        <v>6.9</v>
      </c>
      <c r="P98" s="359">
        <f t="shared" si="106"/>
        <v>0.28333333333333333</v>
      </c>
      <c r="Q98" s="358">
        <f t="shared" si="61"/>
        <v>0.57499999999999996</v>
      </c>
      <c r="R98" s="359">
        <f t="shared" ref="R98:CR98" si="108">R73/R$91</f>
        <v>0.26153846153846155</v>
      </c>
      <c r="S98" s="358">
        <f t="shared" si="62"/>
        <v>0.53076923076923077</v>
      </c>
      <c r="T98" s="359">
        <f t="shared" si="108"/>
        <v>0.68</v>
      </c>
      <c r="U98" s="358">
        <f t="shared" si="63"/>
        <v>1.38</v>
      </c>
      <c r="V98" s="359">
        <f t="shared" si="108"/>
        <v>0.22666666666666666</v>
      </c>
      <c r="W98" s="358">
        <f t="shared" si="64"/>
        <v>0.46</v>
      </c>
      <c r="X98" s="359">
        <f t="shared" si="108"/>
        <v>0.30909090909090908</v>
      </c>
      <c r="Y98" s="358">
        <f t="shared" si="65"/>
        <v>0.62727272727272732</v>
      </c>
      <c r="Z98" s="359">
        <f t="shared" si="108"/>
        <v>3.7777777777777778E-2</v>
      </c>
      <c r="AA98" s="358">
        <f t="shared" si="66"/>
        <v>7.6666666666666661E-2</v>
      </c>
      <c r="AB98" s="359">
        <f t="shared" si="108"/>
        <v>1.0200000000000001E-2</v>
      </c>
      <c r="AC98" s="358">
        <f t="shared" si="67"/>
        <v>2.07E-2</v>
      </c>
      <c r="AD98" s="359">
        <f t="shared" si="108"/>
        <v>1.2408759124087591E-2</v>
      </c>
      <c r="AE98" s="358">
        <f t="shared" si="68"/>
        <v>2.5182481751824817E-2</v>
      </c>
      <c r="AF98" s="359">
        <f t="shared" si="108"/>
        <v>2.4285714285714285E-2</v>
      </c>
      <c r="AG98" s="358">
        <f t="shared" si="69"/>
        <v>4.9285714285714287E-2</v>
      </c>
      <c r="AH98" s="359">
        <f t="shared" si="108"/>
        <v>7.0833333333333331E-2</v>
      </c>
      <c r="AI98" s="358">
        <f t="shared" si="70"/>
        <v>0.14374999999999999</v>
      </c>
      <c r="AJ98" s="359">
        <f t="shared" si="108"/>
        <v>3.5602094240837698E-2</v>
      </c>
      <c r="AK98" s="358">
        <f t="shared" si="71"/>
        <v>7.2251308900523559E-2</v>
      </c>
      <c r="AL98" s="359">
        <f t="shared" si="108"/>
        <v>3.2380952380952378E-2</v>
      </c>
      <c r="AM98" s="358">
        <f t="shared" si="72"/>
        <v>6.5714285714285711E-2</v>
      </c>
      <c r="AN98" s="359">
        <f t="shared" si="108"/>
        <v>1.4166666666666666E-2</v>
      </c>
      <c r="AO98" s="358">
        <f t="shared" si="73"/>
        <v>2.8750000000000001E-2</v>
      </c>
      <c r="AP98" s="359">
        <f t="shared" si="108"/>
        <v>2.6053639846743294E-2</v>
      </c>
      <c r="AQ98" s="358">
        <f t="shared" si="74"/>
        <v>5.2873563218390804E-2</v>
      </c>
      <c r="AR98" s="359">
        <f t="shared" si="108"/>
        <v>9.7142857142857142E-2</v>
      </c>
      <c r="AS98" s="358">
        <f t="shared" si="75"/>
        <v>0.19714285714285715</v>
      </c>
      <c r="AT98" s="359">
        <f t="shared" si="108"/>
        <v>3.5789473684210524E-2</v>
      </c>
      <c r="AU98" s="358">
        <f t="shared" si="76"/>
        <v>7.2631578947368422E-2</v>
      </c>
      <c r="AV98" s="359">
        <f t="shared" si="108"/>
        <v>7.083333333333333E-3</v>
      </c>
      <c r="AW98" s="358">
        <f t="shared" si="77"/>
        <v>1.4375000000000001E-2</v>
      </c>
      <c r="AX98" s="359">
        <f t="shared" si="108"/>
        <v>7.083333333333333E-3</v>
      </c>
      <c r="AY98" s="358">
        <f t="shared" si="78"/>
        <v>1.4375000000000001E-2</v>
      </c>
      <c r="AZ98" s="359">
        <f t="shared" si="108"/>
        <v>8.5000000000000006E-2</v>
      </c>
      <c r="BA98" s="358">
        <f t="shared" si="79"/>
        <v>0.17249999999999999</v>
      </c>
      <c r="BB98" s="359">
        <f t="shared" si="108"/>
        <v>2.8333333333333332E-2</v>
      </c>
      <c r="BC98" s="358">
        <f t="shared" si="80"/>
        <v>5.7500000000000002E-2</v>
      </c>
      <c r="BD98" s="359">
        <f t="shared" si="108"/>
        <v>4.5333333333333337E-2</v>
      </c>
      <c r="BE98" s="358">
        <f t="shared" si="81"/>
        <v>9.1999999999999998E-2</v>
      </c>
      <c r="BF98" s="359">
        <f t="shared" si="108"/>
        <v>0.13076923076923078</v>
      </c>
      <c r="BG98" s="358">
        <f t="shared" si="82"/>
        <v>0.26538461538461539</v>
      </c>
      <c r="BH98" s="359">
        <f t="shared" si="108"/>
        <v>1.6999999999999999E-3</v>
      </c>
      <c r="BI98" s="358">
        <f t="shared" si="83"/>
        <v>3.4499999999999999E-3</v>
      </c>
      <c r="BJ98" s="359">
        <f t="shared" si="108"/>
        <v>3.1875000000000001E-2</v>
      </c>
      <c r="BK98" s="358">
        <f t="shared" si="84"/>
        <v>6.4687499999999995E-2</v>
      </c>
      <c r="BL98" s="359">
        <f t="shared" si="108"/>
        <v>1.1147540983606558E-2</v>
      </c>
      <c r="BM98" s="358">
        <f t="shared" si="85"/>
        <v>2.2622950819672132E-2</v>
      </c>
      <c r="BN98" s="359">
        <f t="shared" si="108"/>
        <v>1.0625000000000001E-2</v>
      </c>
      <c r="BO98" s="358">
        <f t="shared" si="86"/>
        <v>2.1562499999999998E-2</v>
      </c>
      <c r="BP98" s="359">
        <f t="shared" si="108"/>
        <v>1.3076923076923076E-2</v>
      </c>
      <c r="BQ98" s="358">
        <f t="shared" si="87"/>
        <v>2.6538461538461539E-2</v>
      </c>
      <c r="BR98" s="359">
        <f t="shared" si="108"/>
        <v>7.391304347826087E-3</v>
      </c>
      <c r="BS98" s="358">
        <f t="shared" si="88"/>
        <v>1.4999999999999999E-2</v>
      </c>
      <c r="BT98" s="357">
        <f t="shared" si="108"/>
        <v>1.2142857142857143E-2</v>
      </c>
      <c r="BU98" s="358">
        <f t="shared" si="89"/>
        <v>2.4642857142857143E-2</v>
      </c>
      <c r="BV98" s="359">
        <f t="shared" si="108"/>
        <v>5.0746268656716416E-3</v>
      </c>
      <c r="BW98" s="358">
        <f t="shared" si="90"/>
        <v>1.0298507462686568E-2</v>
      </c>
      <c r="BX98" s="359">
        <f t="shared" si="108"/>
        <v>1.3281250000000001E-3</v>
      </c>
      <c r="BY98" s="358">
        <f t="shared" si="91"/>
        <v>2.6953124999999998E-3</v>
      </c>
      <c r="BZ98" s="357">
        <f t="shared" si="108"/>
        <v>1.0625000000000001E-2</v>
      </c>
      <c r="CA98" s="358">
        <f t="shared" si="92"/>
        <v>2.1562499999999998E-2</v>
      </c>
      <c r="CB98" s="359">
        <f t="shared" si="108"/>
        <v>4.7887323943661972E-3</v>
      </c>
      <c r="CC98" s="358">
        <f t="shared" si="93"/>
        <v>9.7183098591549291E-3</v>
      </c>
      <c r="CD98" s="359">
        <f t="shared" si="108"/>
        <v>6.0000000000000001E-3</v>
      </c>
      <c r="CE98" s="358">
        <f t="shared" si="94"/>
        <v>1.2176470588235294E-2</v>
      </c>
      <c r="CF98" s="359">
        <f t="shared" si="108"/>
        <v>3.4000000000000002E-2</v>
      </c>
      <c r="CG98" s="358">
        <f t="shared" si="95"/>
        <v>6.9000000000000006E-2</v>
      </c>
      <c r="CH98" s="357">
        <f t="shared" si="108"/>
        <v>8.7628865979381444E-3</v>
      </c>
      <c r="CI98" s="358">
        <f t="shared" si="96"/>
        <v>1.7783505154639175E-2</v>
      </c>
      <c r="CJ98" s="359">
        <f t="shared" si="108"/>
        <v>4.0476190476190478E-2</v>
      </c>
      <c r="CK98" s="358">
        <f t="shared" si="97"/>
        <v>8.2142857142857142E-2</v>
      </c>
      <c r="CL98" s="359">
        <f t="shared" si="108"/>
        <v>5.0999999999999997E-2</v>
      </c>
      <c r="CM98" s="358">
        <f t="shared" si="98"/>
        <v>0.10349999999999999</v>
      </c>
      <c r="CN98" s="357">
        <f t="shared" si="108"/>
        <v>3.2380952380952383E-3</v>
      </c>
      <c r="CO98" s="358">
        <f t="shared" si="99"/>
        <v>6.5714285714285718E-3</v>
      </c>
      <c r="CP98" s="359">
        <f t="shared" si="108"/>
        <v>0.42499999999999999</v>
      </c>
      <c r="CQ98" s="358">
        <f t="shared" si="100"/>
        <v>0.86250000000000004</v>
      </c>
      <c r="CR98" s="359">
        <f t="shared" si="108"/>
        <v>3.4000000000000002E-4</v>
      </c>
      <c r="CS98" s="366">
        <f t="shared" si="101"/>
        <v>6.8999999999999997E-4</v>
      </c>
    </row>
    <row r="99" spans="1:97" s="25" customFormat="1">
      <c r="A99" s="109" t="s">
        <v>523</v>
      </c>
      <c r="B99" s="239">
        <v>10</v>
      </c>
      <c r="C99" s="239">
        <v>40</v>
      </c>
      <c r="D99" s="344">
        <f t="shared" si="55"/>
        <v>23</v>
      </c>
      <c r="E99" s="345">
        <f t="shared" si="102"/>
        <v>57.5</v>
      </c>
      <c r="F99" s="347">
        <f t="shared" si="56"/>
        <v>92</v>
      </c>
      <c r="H99" s="357">
        <f t="shared" si="103"/>
        <v>1.5333333333333334</v>
      </c>
      <c r="I99" s="358">
        <f t="shared" si="104"/>
        <v>6.1333333333333337</v>
      </c>
      <c r="J99" s="359">
        <f t="shared" si="103"/>
        <v>1.5333333333333334</v>
      </c>
      <c r="K99" s="358">
        <f t="shared" si="104"/>
        <v>6.1333333333333337</v>
      </c>
      <c r="L99" s="359">
        <f t="shared" si="57"/>
        <v>0.46</v>
      </c>
      <c r="M99" s="358">
        <f t="shared" si="58"/>
        <v>1.84</v>
      </c>
      <c r="N99" s="359">
        <f t="shared" si="105"/>
        <v>2.2999999999999998</v>
      </c>
      <c r="O99" s="358">
        <f t="shared" si="60"/>
        <v>9.1999999999999993</v>
      </c>
      <c r="P99" s="359">
        <f t="shared" si="106"/>
        <v>0.19166666666666668</v>
      </c>
      <c r="Q99" s="358">
        <f t="shared" si="61"/>
        <v>0.76666666666666672</v>
      </c>
      <c r="R99" s="359">
        <f t="shared" ref="R99:CR99" si="109">R74/R$91</f>
        <v>0.17692307692307693</v>
      </c>
      <c r="S99" s="358">
        <f t="shared" si="62"/>
        <v>0.70769230769230773</v>
      </c>
      <c r="T99" s="359">
        <f t="shared" si="109"/>
        <v>0.46</v>
      </c>
      <c r="U99" s="358">
        <f t="shared" si="63"/>
        <v>1.84</v>
      </c>
      <c r="V99" s="359">
        <f t="shared" si="109"/>
        <v>0.15333333333333332</v>
      </c>
      <c r="W99" s="358">
        <f t="shared" si="64"/>
        <v>0.61333333333333329</v>
      </c>
      <c r="X99" s="359">
        <f t="shared" si="109"/>
        <v>0.20909090909090908</v>
      </c>
      <c r="Y99" s="358">
        <f t="shared" si="65"/>
        <v>0.83636363636363631</v>
      </c>
      <c r="Z99" s="359">
        <f t="shared" si="109"/>
        <v>2.5555555555555557E-2</v>
      </c>
      <c r="AA99" s="358">
        <f t="shared" si="66"/>
        <v>0.10222222222222223</v>
      </c>
      <c r="AB99" s="359">
        <f t="shared" si="109"/>
        <v>2.3E-3</v>
      </c>
      <c r="AC99" s="358">
        <f t="shared" si="67"/>
        <v>9.1999999999999998E-3</v>
      </c>
      <c r="AD99" s="359">
        <f t="shared" si="109"/>
        <v>8.3941605839416063E-3</v>
      </c>
      <c r="AE99" s="358">
        <f t="shared" si="68"/>
        <v>3.3576642335766425E-2</v>
      </c>
      <c r="AF99" s="359">
        <f t="shared" si="109"/>
        <v>1.6428571428571428E-2</v>
      </c>
      <c r="AG99" s="358">
        <f t="shared" si="69"/>
        <v>6.5714285714285711E-2</v>
      </c>
      <c r="AH99" s="359">
        <f t="shared" si="109"/>
        <v>0.57499999999999996</v>
      </c>
      <c r="AI99" s="358">
        <f t="shared" si="70"/>
        <v>2.2999999999999998</v>
      </c>
      <c r="AJ99" s="359">
        <f t="shared" si="109"/>
        <v>2.4083769633507852E-2</v>
      </c>
      <c r="AK99" s="358">
        <f t="shared" si="71"/>
        <v>9.6335078534031407E-2</v>
      </c>
      <c r="AL99" s="359">
        <f t="shared" si="109"/>
        <v>2.1904761904761906E-2</v>
      </c>
      <c r="AM99" s="358">
        <f t="shared" si="72"/>
        <v>8.7619047619047624E-2</v>
      </c>
      <c r="AN99" s="359">
        <f t="shared" si="109"/>
        <v>3.1944444444444446E-3</v>
      </c>
      <c r="AO99" s="358">
        <f t="shared" si="73"/>
        <v>1.2777777777777779E-2</v>
      </c>
      <c r="AP99" s="359">
        <f t="shared" si="109"/>
        <v>4.4061302681992339E-3</v>
      </c>
      <c r="AQ99" s="358">
        <f t="shared" si="74"/>
        <v>1.7624521072796936E-2</v>
      </c>
      <c r="AR99" s="359">
        <f t="shared" si="109"/>
        <v>2.1904761904761906E-2</v>
      </c>
      <c r="AS99" s="358">
        <f t="shared" si="75"/>
        <v>8.7619047619047624E-2</v>
      </c>
      <c r="AT99" s="359">
        <f t="shared" si="109"/>
        <v>2.4210526315789474E-2</v>
      </c>
      <c r="AU99" s="358">
        <f t="shared" si="76"/>
        <v>9.6842105263157896E-2</v>
      </c>
      <c r="AV99" s="359">
        <f t="shared" si="109"/>
        <v>4.7916666666666663E-3</v>
      </c>
      <c r="AW99" s="358">
        <f t="shared" si="77"/>
        <v>1.9166666666666665E-2</v>
      </c>
      <c r="AX99" s="359">
        <f t="shared" si="109"/>
        <v>5.7500000000000002E-2</v>
      </c>
      <c r="AY99" s="358">
        <f t="shared" si="78"/>
        <v>0.23</v>
      </c>
      <c r="AZ99" s="359">
        <f t="shared" si="109"/>
        <v>1.9166666666666665E-2</v>
      </c>
      <c r="BA99" s="358">
        <f t="shared" si="79"/>
        <v>7.6666666666666661E-2</v>
      </c>
      <c r="BB99" s="359">
        <f t="shared" si="109"/>
        <v>4.7916666666666663E-3</v>
      </c>
      <c r="BC99" s="358">
        <f t="shared" si="80"/>
        <v>1.9166666666666665E-2</v>
      </c>
      <c r="BD99" s="359">
        <f t="shared" si="109"/>
        <v>3.0666666666666665E-2</v>
      </c>
      <c r="BE99" s="358">
        <f t="shared" si="81"/>
        <v>0.12266666666666666</v>
      </c>
      <c r="BF99" s="359">
        <f t="shared" si="109"/>
        <v>2.9487179487179487E-2</v>
      </c>
      <c r="BG99" s="358">
        <f t="shared" si="82"/>
        <v>0.11794871794871795</v>
      </c>
      <c r="BH99" s="359">
        <f t="shared" si="109"/>
        <v>1.38E-2</v>
      </c>
      <c r="BI99" s="358">
        <f t="shared" si="83"/>
        <v>5.5199999999999999E-2</v>
      </c>
      <c r="BJ99" s="359">
        <f t="shared" si="109"/>
        <v>7.1875000000000003E-3</v>
      </c>
      <c r="BK99" s="358">
        <f t="shared" si="84"/>
        <v>2.8750000000000001E-2</v>
      </c>
      <c r="BL99" s="359">
        <f t="shared" si="109"/>
        <v>7.5409836065573775E-3</v>
      </c>
      <c r="BM99" s="358">
        <f t="shared" si="85"/>
        <v>3.016393442622951E-2</v>
      </c>
      <c r="BN99" s="359">
        <f t="shared" si="109"/>
        <v>1.7968750000000001E-3</v>
      </c>
      <c r="BO99" s="358">
        <f t="shared" si="86"/>
        <v>7.1875000000000003E-3</v>
      </c>
      <c r="BP99" s="359">
        <f t="shared" si="109"/>
        <v>8.8461538461538456E-3</v>
      </c>
      <c r="BQ99" s="358">
        <f t="shared" si="87"/>
        <v>3.5384615384615382E-2</v>
      </c>
      <c r="BR99" s="359">
        <f t="shared" si="109"/>
        <v>5.0000000000000001E-3</v>
      </c>
      <c r="BS99" s="358">
        <f t="shared" si="88"/>
        <v>0.02</v>
      </c>
      <c r="BT99" s="357">
        <f t="shared" si="109"/>
        <v>8.2142857142857139E-3</v>
      </c>
      <c r="BU99" s="358">
        <f t="shared" si="89"/>
        <v>3.2857142857142856E-2</v>
      </c>
      <c r="BV99" s="359">
        <f t="shared" si="109"/>
        <v>3.4328358208955225E-3</v>
      </c>
      <c r="BW99" s="358">
        <f t="shared" si="90"/>
        <v>1.373134328358209E-2</v>
      </c>
      <c r="BX99" s="359">
        <f t="shared" si="109"/>
        <v>2.6953124999999998E-3</v>
      </c>
      <c r="BY99" s="358">
        <f t="shared" si="91"/>
        <v>1.0781249999999999E-2</v>
      </c>
      <c r="BZ99" s="357">
        <f t="shared" si="109"/>
        <v>7.1875000000000003E-3</v>
      </c>
      <c r="CA99" s="358">
        <f t="shared" si="92"/>
        <v>2.8750000000000001E-2</v>
      </c>
      <c r="CB99" s="359">
        <f t="shared" si="109"/>
        <v>8.0985915492957743E-4</v>
      </c>
      <c r="CC99" s="358">
        <f t="shared" si="93"/>
        <v>3.2394366197183097E-3</v>
      </c>
      <c r="CD99" s="359">
        <f t="shared" si="109"/>
        <v>1.3529411764705882E-3</v>
      </c>
      <c r="CE99" s="358">
        <f t="shared" si="94"/>
        <v>5.4117647058823529E-3</v>
      </c>
      <c r="CF99" s="359">
        <f t="shared" si="109"/>
        <v>2.3E-2</v>
      </c>
      <c r="CG99" s="358">
        <f t="shared" si="95"/>
        <v>9.1999999999999998E-2</v>
      </c>
      <c r="CH99" s="357">
        <f t="shared" si="109"/>
        <v>5.9278350515463915E-3</v>
      </c>
      <c r="CI99" s="358">
        <f t="shared" si="96"/>
        <v>2.3711340206185566E-2</v>
      </c>
      <c r="CJ99" s="359">
        <f t="shared" si="109"/>
        <v>6.8452380952380952E-3</v>
      </c>
      <c r="CK99" s="358">
        <f t="shared" si="97"/>
        <v>2.7380952380952381E-2</v>
      </c>
      <c r="CL99" s="359">
        <f t="shared" si="109"/>
        <v>1.15E-2</v>
      </c>
      <c r="CM99" s="358">
        <f t="shared" si="98"/>
        <v>4.5999999999999999E-2</v>
      </c>
      <c r="CN99" s="357">
        <f t="shared" si="109"/>
        <v>2.1904761904761906E-3</v>
      </c>
      <c r="CO99" s="358">
        <f t="shared" si="99"/>
        <v>8.7619047619047624E-3</v>
      </c>
      <c r="CP99" s="359">
        <f t="shared" si="109"/>
        <v>0.28749999999999998</v>
      </c>
      <c r="CQ99" s="358">
        <f t="shared" si="100"/>
        <v>1.1499999999999999</v>
      </c>
      <c r="CR99" s="359">
        <f t="shared" si="109"/>
        <v>2.3000000000000001E-4</v>
      </c>
      <c r="CS99" s="366">
        <f t="shared" si="101"/>
        <v>9.2000000000000003E-4</v>
      </c>
    </row>
    <row r="100" spans="1:97" s="25" customFormat="1">
      <c r="A100" s="25" t="s">
        <v>383</v>
      </c>
      <c r="B100" s="239">
        <v>20</v>
      </c>
      <c r="C100" s="239">
        <v>25</v>
      </c>
      <c r="D100" s="344">
        <f t="shared" si="55"/>
        <v>46</v>
      </c>
      <c r="E100" s="345">
        <f t="shared" si="102"/>
        <v>51.75</v>
      </c>
      <c r="F100" s="347">
        <f t="shared" si="56"/>
        <v>57.499999999999993</v>
      </c>
      <c r="H100" s="357">
        <f t="shared" si="103"/>
        <v>3.0666666666666669</v>
      </c>
      <c r="I100" s="358">
        <f t="shared" si="104"/>
        <v>3.833333333333333</v>
      </c>
      <c r="J100" s="359">
        <f t="shared" si="103"/>
        <v>3.0666666666666669</v>
      </c>
      <c r="K100" s="358">
        <f t="shared" si="104"/>
        <v>3.833333333333333</v>
      </c>
      <c r="L100" s="359">
        <f t="shared" si="57"/>
        <v>0.92</v>
      </c>
      <c r="M100" s="358">
        <f t="shared" si="58"/>
        <v>1.1499999999999999</v>
      </c>
      <c r="N100" s="359">
        <f t="shared" si="105"/>
        <v>4.5999999999999996</v>
      </c>
      <c r="O100" s="358">
        <f t="shared" si="60"/>
        <v>5.7499999999999991</v>
      </c>
      <c r="P100" s="359">
        <f t="shared" si="106"/>
        <v>0.38333333333333336</v>
      </c>
      <c r="Q100" s="358">
        <f t="shared" si="61"/>
        <v>0.47916666666666663</v>
      </c>
      <c r="R100" s="359">
        <f t="shared" ref="R100:CR100" si="110">R75/R$91</f>
        <v>0.35384615384615387</v>
      </c>
      <c r="S100" s="358">
        <f t="shared" si="62"/>
        <v>0.44230769230769224</v>
      </c>
      <c r="T100" s="359">
        <f t="shared" si="110"/>
        <v>0.92</v>
      </c>
      <c r="U100" s="358">
        <f t="shared" si="63"/>
        <v>1.1499999999999999</v>
      </c>
      <c r="V100" s="359">
        <f t="shared" si="110"/>
        <v>0.30666666666666664</v>
      </c>
      <c r="W100" s="358">
        <f t="shared" si="64"/>
        <v>0.3833333333333333</v>
      </c>
      <c r="X100" s="359">
        <f t="shared" si="110"/>
        <v>0.41818181818181815</v>
      </c>
      <c r="Y100" s="358">
        <f t="shared" si="65"/>
        <v>0.52272727272727271</v>
      </c>
      <c r="Z100" s="359">
        <f t="shared" si="110"/>
        <v>5.1111111111111114E-2</v>
      </c>
      <c r="AA100" s="358">
        <f t="shared" si="66"/>
        <v>6.3888888888888884E-2</v>
      </c>
      <c r="AB100" s="359">
        <f t="shared" si="110"/>
        <v>4.5999999999999999E-3</v>
      </c>
      <c r="AC100" s="358">
        <f t="shared" si="67"/>
        <v>5.749999999999999E-3</v>
      </c>
      <c r="AD100" s="359">
        <f t="shared" si="110"/>
        <v>6.7153284671532851E-2</v>
      </c>
      <c r="AE100" s="358">
        <f t="shared" si="68"/>
        <v>8.3941605839416053E-2</v>
      </c>
      <c r="AF100" s="359">
        <f t="shared" si="110"/>
        <v>3.2857142857142856E-2</v>
      </c>
      <c r="AG100" s="358">
        <f t="shared" si="69"/>
        <v>4.1071428571428564E-2</v>
      </c>
      <c r="AH100" s="359">
        <f t="shared" si="110"/>
        <v>0.38333333333333336</v>
      </c>
      <c r="AI100" s="358">
        <f t="shared" si="70"/>
        <v>0.47916666666666663</v>
      </c>
      <c r="AJ100" s="359">
        <f t="shared" si="110"/>
        <v>4.8167539267015703E-2</v>
      </c>
      <c r="AK100" s="358">
        <f t="shared" si="71"/>
        <v>6.0209424083769628E-2</v>
      </c>
      <c r="AL100" s="359">
        <f t="shared" si="110"/>
        <v>4.3809523809523812E-2</v>
      </c>
      <c r="AM100" s="358">
        <f t="shared" si="72"/>
        <v>5.4761904761904755E-2</v>
      </c>
      <c r="AN100" s="359">
        <f t="shared" si="110"/>
        <v>2.5555555555555557E-2</v>
      </c>
      <c r="AO100" s="358">
        <f t="shared" si="73"/>
        <v>3.1944444444444442E-2</v>
      </c>
      <c r="AP100" s="359">
        <f t="shared" si="110"/>
        <v>3.5249042145593872E-2</v>
      </c>
      <c r="AQ100" s="358">
        <f t="shared" si="74"/>
        <v>4.4061302681992334E-2</v>
      </c>
      <c r="AR100" s="359">
        <f t="shared" si="110"/>
        <v>4.3809523809523812E-2</v>
      </c>
      <c r="AS100" s="358">
        <f t="shared" si="75"/>
        <v>5.4761904761904755E-2</v>
      </c>
      <c r="AT100" s="359">
        <f t="shared" si="110"/>
        <v>4.8421052631578948E-2</v>
      </c>
      <c r="AU100" s="358">
        <f t="shared" si="76"/>
        <v>6.0526315789473678E-2</v>
      </c>
      <c r="AV100" s="359">
        <f t="shared" si="110"/>
        <v>3.833333333333333E-2</v>
      </c>
      <c r="AW100" s="358">
        <f t="shared" si="77"/>
        <v>4.7916666666666663E-2</v>
      </c>
      <c r="AX100" s="359">
        <f t="shared" si="110"/>
        <v>3.833333333333333E-2</v>
      </c>
      <c r="AY100" s="358">
        <f t="shared" si="78"/>
        <v>4.7916666666666663E-2</v>
      </c>
      <c r="AZ100" s="359">
        <f t="shared" si="110"/>
        <v>3.833333333333333E-2</v>
      </c>
      <c r="BA100" s="358">
        <f t="shared" si="79"/>
        <v>4.7916666666666663E-2</v>
      </c>
      <c r="BB100" s="359">
        <f t="shared" si="110"/>
        <v>3.833333333333333E-2</v>
      </c>
      <c r="BC100" s="358">
        <f t="shared" si="80"/>
        <v>4.7916666666666663E-2</v>
      </c>
      <c r="BD100" s="359">
        <f t="shared" si="110"/>
        <v>6.133333333333333E-2</v>
      </c>
      <c r="BE100" s="358">
        <f t="shared" si="81"/>
        <v>7.6666666666666661E-2</v>
      </c>
      <c r="BF100" s="359">
        <f t="shared" si="110"/>
        <v>5.8974358974358973E-2</v>
      </c>
      <c r="BG100" s="358">
        <f t="shared" si="82"/>
        <v>7.3717948717948706E-2</v>
      </c>
      <c r="BH100" s="359">
        <f t="shared" si="110"/>
        <v>9.1999999999999998E-3</v>
      </c>
      <c r="BI100" s="358">
        <f t="shared" si="83"/>
        <v>1.1499999999999998E-2</v>
      </c>
      <c r="BJ100" s="359">
        <f t="shared" si="110"/>
        <v>1.4375000000000001E-2</v>
      </c>
      <c r="BK100" s="358">
        <f t="shared" si="84"/>
        <v>1.7968749999999999E-2</v>
      </c>
      <c r="BL100" s="359">
        <f t="shared" si="110"/>
        <v>1.5081967213114755E-2</v>
      </c>
      <c r="BM100" s="358">
        <f t="shared" si="85"/>
        <v>1.8852459016393441E-2</v>
      </c>
      <c r="BN100" s="359">
        <f t="shared" si="110"/>
        <v>1.4375000000000001E-2</v>
      </c>
      <c r="BO100" s="358">
        <f t="shared" si="86"/>
        <v>1.7968749999999999E-2</v>
      </c>
      <c r="BP100" s="359">
        <f t="shared" si="110"/>
        <v>1.7692307692307691E-2</v>
      </c>
      <c r="BQ100" s="358">
        <f t="shared" si="87"/>
        <v>2.2115384615384613E-2</v>
      </c>
      <c r="BR100" s="359">
        <f t="shared" si="110"/>
        <v>0.01</v>
      </c>
      <c r="BS100" s="358">
        <f t="shared" si="88"/>
        <v>1.2499999999999999E-2</v>
      </c>
      <c r="BT100" s="357">
        <f t="shared" si="110"/>
        <v>1.6428571428571428E-2</v>
      </c>
      <c r="BU100" s="358">
        <f t="shared" si="89"/>
        <v>2.0535714285714282E-2</v>
      </c>
      <c r="BV100" s="359">
        <f t="shared" si="110"/>
        <v>6.8656716417910451E-3</v>
      </c>
      <c r="BW100" s="358">
        <f t="shared" si="90"/>
        <v>8.5820895522388044E-3</v>
      </c>
      <c r="BX100" s="359">
        <f t="shared" si="110"/>
        <v>7.1875000000000003E-3</v>
      </c>
      <c r="BY100" s="358">
        <f t="shared" si="91"/>
        <v>8.9843749999999993E-3</v>
      </c>
      <c r="BZ100" s="357">
        <f t="shared" si="110"/>
        <v>5.7500000000000002E-2</v>
      </c>
      <c r="CA100" s="358">
        <f t="shared" si="92"/>
        <v>7.1874999999999994E-2</v>
      </c>
      <c r="CB100" s="359">
        <f t="shared" si="110"/>
        <v>6.4788732394366194E-3</v>
      </c>
      <c r="CC100" s="358">
        <f t="shared" si="93"/>
        <v>8.0985915492957743E-3</v>
      </c>
      <c r="CD100" s="359">
        <f t="shared" si="110"/>
        <v>2.7058823529411765E-3</v>
      </c>
      <c r="CE100" s="358">
        <f t="shared" si="94"/>
        <v>3.38235294117647E-3</v>
      </c>
      <c r="CF100" s="359">
        <f t="shared" si="110"/>
        <v>4.5999999999999999E-2</v>
      </c>
      <c r="CG100" s="358">
        <f t="shared" si="95"/>
        <v>5.7499999999999996E-2</v>
      </c>
      <c r="CH100" s="357">
        <f t="shared" si="110"/>
        <v>4.7422680412371132E-2</v>
      </c>
      <c r="CI100" s="358">
        <f t="shared" si="96"/>
        <v>5.9278350515463908E-2</v>
      </c>
      <c r="CJ100" s="359">
        <f t="shared" si="110"/>
        <v>5.4761904761904762E-2</v>
      </c>
      <c r="CK100" s="358">
        <f t="shared" si="97"/>
        <v>6.8452380952380945E-2</v>
      </c>
      <c r="CL100" s="359">
        <f t="shared" si="110"/>
        <v>2.3E-2</v>
      </c>
      <c r="CM100" s="358">
        <f t="shared" si="98"/>
        <v>2.8749999999999998E-2</v>
      </c>
      <c r="CN100" s="357">
        <f t="shared" si="110"/>
        <v>4.3809523809523812E-3</v>
      </c>
      <c r="CO100" s="358">
        <f t="shared" si="99"/>
        <v>5.4761904761904756E-3</v>
      </c>
      <c r="CP100" s="359">
        <f t="shared" si="110"/>
        <v>0.57499999999999996</v>
      </c>
      <c r="CQ100" s="358">
        <f t="shared" si="100"/>
        <v>0.71874999999999989</v>
      </c>
      <c r="CR100" s="359">
        <f t="shared" si="110"/>
        <v>4.6000000000000001E-4</v>
      </c>
      <c r="CS100" s="366">
        <f t="shared" si="101"/>
        <v>5.7499999999999988E-4</v>
      </c>
    </row>
    <row r="101" spans="1:97" s="25" customFormat="1">
      <c r="A101" s="29" t="s">
        <v>93</v>
      </c>
      <c r="B101" s="326">
        <v>20</v>
      </c>
      <c r="C101" s="326">
        <v>30</v>
      </c>
      <c r="D101" s="351">
        <f t="shared" si="55"/>
        <v>46</v>
      </c>
      <c r="E101" s="352">
        <f t="shared" si="102"/>
        <v>57.5</v>
      </c>
      <c r="F101" s="353">
        <f t="shared" si="56"/>
        <v>69</v>
      </c>
      <c r="G101" s="29"/>
      <c r="H101" s="360">
        <f t="shared" si="103"/>
        <v>3.0666666666666669</v>
      </c>
      <c r="I101" s="361">
        <f t="shared" si="104"/>
        <v>4.5999999999999996</v>
      </c>
      <c r="J101" s="362">
        <f t="shared" si="103"/>
        <v>3.0666666666666669</v>
      </c>
      <c r="K101" s="361">
        <f t="shared" si="104"/>
        <v>4.5999999999999996</v>
      </c>
      <c r="L101" s="362">
        <f t="shared" si="57"/>
        <v>0.92</v>
      </c>
      <c r="M101" s="361">
        <f t="shared" si="58"/>
        <v>1.38</v>
      </c>
      <c r="N101" s="362">
        <f t="shared" si="105"/>
        <v>4.5999999999999996</v>
      </c>
      <c r="O101" s="361">
        <f t="shared" si="60"/>
        <v>6.9</v>
      </c>
      <c r="P101" s="362">
        <f t="shared" si="106"/>
        <v>0.38333333333333336</v>
      </c>
      <c r="Q101" s="361">
        <f t="shared" si="61"/>
        <v>0.57499999999999996</v>
      </c>
      <c r="R101" s="362">
        <f t="shared" ref="R101:CR101" si="111">R76/R$91</f>
        <v>0.35384615384615387</v>
      </c>
      <c r="S101" s="361">
        <f t="shared" si="62"/>
        <v>0.53076923076923077</v>
      </c>
      <c r="T101" s="362">
        <f t="shared" si="111"/>
        <v>0.92</v>
      </c>
      <c r="U101" s="361">
        <f t="shared" si="63"/>
        <v>1.38</v>
      </c>
      <c r="V101" s="362">
        <f t="shared" si="111"/>
        <v>0.30666666666666664</v>
      </c>
      <c r="W101" s="361">
        <f t="shared" si="64"/>
        <v>0.46</v>
      </c>
      <c r="X101" s="362">
        <f t="shared" si="111"/>
        <v>0.41818181818181815</v>
      </c>
      <c r="Y101" s="361">
        <f t="shared" si="65"/>
        <v>0.62727272727272732</v>
      </c>
      <c r="Z101" s="362">
        <f t="shared" si="111"/>
        <v>5.1111111111111114E-2</v>
      </c>
      <c r="AA101" s="361">
        <f t="shared" si="66"/>
        <v>7.6666666666666661E-2</v>
      </c>
      <c r="AB101" s="362">
        <f t="shared" si="111"/>
        <v>4.5999999999999999E-3</v>
      </c>
      <c r="AC101" s="361">
        <f t="shared" si="67"/>
        <v>6.8999999999999999E-3</v>
      </c>
      <c r="AD101" s="362">
        <f t="shared" si="111"/>
        <v>6.7153284671532851E-2</v>
      </c>
      <c r="AE101" s="361">
        <f t="shared" si="68"/>
        <v>0.10072992700729927</v>
      </c>
      <c r="AF101" s="362">
        <f t="shared" si="111"/>
        <v>3.2857142857142856E-2</v>
      </c>
      <c r="AG101" s="361">
        <f t="shared" si="69"/>
        <v>4.9285714285714287E-2</v>
      </c>
      <c r="AH101" s="362">
        <f t="shared" si="111"/>
        <v>0.38333333333333336</v>
      </c>
      <c r="AI101" s="361">
        <f t="shared" si="70"/>
        <v>0.57499999999999996</v>
      </c>
      <c r="AJ101" s="362">
        <f t="shared" si="111"/>
        <v>4.8167539267015703E-2</v>
      </c>
      <c r="AK101" s="361">
        <f t="shared" si="71"/>
        <v>7.2251308900523559E-2</v>
      </c>
      <c r="AL101" s="362">
        <f t="shared" si="111"/>
        <v>4.3809523809523812E-2</v>
      </c>
      <c r="AM101" s="361">
        <f t="shared" si="72"/>
        <v>6.5714285714285711E-2</v>
      </c>
      <c r="AN101" s="362">
        <f t="shared" si="111"/>
        <v>2.5555555555555557E-2</v>
      </c>
      <c r="AO101" s="361">
        <f t="shared" si="73"/>
        <v>3.833333333333333E-2</v>
      </c>
      <c r="AP101" s="362">
        <f t="shared" si="111"/>
        <v>3.5249042145593872E-2</v>
      </c>
      <c r="AQ101" s="361">
        <f t="shared" si="74"/>
        <v>5.2873563218390804E-2</v>
      </c>
      <c r="AR101" s="362">
        <f t="shared" si="111"/>
        <v>4.3809523809523812E-2</v>
      </c>
      <c r="AS101" s="361">
        <f t="shared" si="75"/>
        <v>6.5714285714285711E-2</v>
      </c>
      <c r="AT101" s="362">
        <f t="shared" si="111"/>
        <v>4.8421052631578948E-2</v>
      </c>
      <c r="AU101" s="361">
        <f t="shared" si="76"/>
        <v>7.2631578947368422E-2</v>
      </c>
      <c r="AV101" s="362">
        <f t="shared" si="111"/>
        <v>3.833333333333333E-2</v>
      </c>
      <c r="AW101" s="361">
        <f t="shared" si="77"/>
        <v>5.7500000000000002E-2</v>
      </c>
      <c r="AX101" s="362">
        <f t="shared" si="111"/>
        <v>3.833333333333333E-2</v>
      </c>
      <c r="AY101" s="361">
        <f t="shared" si="78"/>
        <v>5.7500000000000002E-2</v>
      </c>
      <c r="AZ101" s="362">
        <f t="shared" si="111"/>
        <v>3.833333333333333E-2</v>
      </c>
      <c r="BA101" s="361">
        <f t="shared" si="79"/>
        <v>5.7500000000000002E-2</v>
      </c>
      <c r="BB101" s="362">
        <f t="shared" si="111"/>
        <v>3.833333333333333E-2</v>
      </c>
      <c r="BC101" s="361">
        <f t="shared" si="80"/>
        <v>5.7500000000000002E-2</v>
      </c>
      <c r="BD101" s="362">
        <f t="shared" si="111"/>
        <v>6.133333333333333E-2</v>
      </c>
      <c r="BE101" s="361">
        <f t="shared" si="81"/>
        <v>9.1999999999999998E-2</v>
      </c>
      <c r="BF101" s="362">
        <f t="shared" si="111"/>
        <v>5.8974358974358973E-2</v>
      </c>
      <c r="BG101" s="361">
        <f t="shared" si="82"/>
        <v>8.8461538461538466E-2</v>
      </c>
      <c r="BH101" s="362">
        <f t="shared" si="111"/>
        <v>9.1999999999999998E-3</v>
      </c>
      <c r="BI101" s="361">
        <f t="shared" si="83"/>
        <v>1.38E-2</v>
      </c>
      <c r="BJ101" s="362">
        <f t="shared" si="111"/>
        <v>1.4375000000000001E-2</v>
      </c>
      <c r="BK101" s="361">
        <f t="shared" si="84"/>
        <v>2.1562499999999998E-2</v>
      </c>
      <c r="BL101" s="362">
        <f t="shared" si="111"/>
        <v>1.5081967213114755E-2</v>
      </c>
      <c r="BM101" s="361">
        <f t="shared" si="85"/>
        <v>2.2622950819672132E-2</v>
      </c>
      <c r="BN101" s="362">
        <f t="shared" si="111"/>
        <v>1.4375000000000001E-2</v>
      </c>
      <c r="BO101" s="361">
        <f t="shared" si="86"/>
        <v>2.1562499999999998E-2</v>
      </c>
      <c r="BP101" s="362">
        <f t="shared" si="111"/>
        <v>1.7692307692307691E-2</v>
      </c>
      <c r="BQ101" s="361">
        <f t="shared" si="87"/>
        <v>2.6538461538461539E-2</v>
      </c>
      <c r="BR101" s="362">
        <f t="shared" si="111"/>
        <v>0.01</v>
      </c>
      <c r="BS101" s="361">
        <f t="shared" si="88"/>
        <v>1.4999999999999999E-2</v>
      </c>
      <c r="BT101" s="360">
        <f t="shared" si="111"/>
        <v>1.6428571428571428E-2</v>
      </c>
      <c r="BU101" s="361">
        <f t="shared" si="89"/>
        <v>2.4642857142857143E-2</v>
      </c>
      <c r="BV101" s="362">
        <f t="shared" si="111"/>
        <v>6.8656716417910451E-3</v>
      </c>
      <c r="BW101" s="361">
        <f t="shared" si="90"/>
        <v>1.0298507462686568E-2</v>
      </c>
      <c r="BX101" s="362">
        <f t="shared" si="111"/>
        <v>7.1875000000000003E-3</v>
      </c>
      <c r="BY101" s="361">
        <f t="shared" si="91"/>
        <v>1.0781249999999999E-2</v>
      </c>
      <c r="BZ101" s="360">
        <f t="shared" si="111"/>
        <v>5.7500000000000002E-2</v>
      </c>
      <c r="CA101" s="361">
        <f t="shared" si="92"/>
        <v>8.6249999999999993E-2</v>
      </c>
      <c r="CB101" s="362">
        <f t="shared" si="111"/>
        <v>6.4788732394366194E-3</v>
      </c>
      <c r="CC101" s="361">
        <f t="shared" si="93"/>
        <v>9.7183098591549291E-3</v>
      </c>
      <c r="CD101" s="362">
        <f t="shared" si="111"/>
        <v>2.7058823529411765E-3</v>
      </c>
      <c r="CE101" s="361">
        <f t="shared" si="94"/>
        <v>4.0588235294117649E-3</v>
      </c>
      <c r="CF101" s="362">
        <f t="shared" si="111"/>
        <v>4.5999999999999999E-2</v>
      </c>
      <c r="CG101" s="361">
        <f t="shared" si="95"/>
        <v>6.9000000000000006E-2</v>
      </c>
      <c r="CH101" s="360">
        <f t="shared" si="111"/>
        <v>4.7422680412371132E-2</v>
      </c>
      <c r="CI101" s="361">
        <f t="shared" si="96"/>
        <v>7.1134020618556698E-2</v>
      </c>
      <c r="CJ101" s="362">
        <f t="shared" si="111"/>
        <v>5.4761904761904762E-2</v>
      </c>
      <c r="CK101" s="361">
        <f t="shared" si="97"/>
        <v>8.2142857142857142E-2</v>
      </c>
      <c r="CL101" s="362">
        <f t="shared" si="111"/>
        <v>2.3E-2</v>
      </c>
      <c r="CM101" s="361">
        <f t="shared" si="98"/>
        <v>3.4500000000000003E-2</v>
      </c>
      <c r="CN101" s="360">
        <f t="shared" si="111"/>
        <v>4.3809523809523812E-3</v>
      </c>
      <c r="CO101" s="361">
        <f t="shared" si="99"/>
        <v>6.5714285714285718E-3</v>
      </c>
      <c r="CP101" s="362">
        <f t="shared" si="111"/>
        <v>0.57499999999999996</v>
      </c>
      <c r="CQ101" s="361">
        <f t="shared" si="100"/>
        <v>0.86250000000000004</v>
      </c>
      <c r="CR101" s="362">
        <f t="shared" si="111"/>
        <v>4.6000000000000001E-4</v>
      </c>
      <c r="CS101" s="367">
        <f t="shared" si="101"/>
        <v>6.8999999999999997E-4</v>
      </c>
    </row>
    <row r="102" spans="1:97" s="25" customFormat="1">
      <c r="A102" s="107" t="s">
        <v>126</v>
      </c>
      <c r="B102" s="239">
        <v>30</v>
      </c>
      <c r="C102" s="239">
        <v>80</v>
      </c>
      <c r="D102" s="344">
        <f t="shared" si="55"/>
        <v>69</v>
      </c>
      <c r="E102" s="345">
        <f t="shared" si="102"/>
        <v>126.5</v>
      </c>
      <c r="F102" s="347">
        <f t="shared" si="56"/>
        <v>184</v>
      </c>
      <c r="H102" s="357">
        <f t="shared" si="103"/>
        <v>4.5999999999999996</v>
      </c>
      <c r="I102" s="358">
        <f t="shared" si="104"/>
        <v>12.266666666666667</v>
      </c>
      <c r="J102" s="359">
        <f t="shared" si="103"/>
        <v>4.5999999999999996</v>
      </c>
      <c r="K102" s="358">
        <f t="shared" si="104"/>
        <v>12.266666666666667</v>
      </c>
      <c r="L102" s="359">
        <f t="shared" si="57"/>
        <v>1.38</v>
      </c>
      <c r="M102" s="358">
        <f t="shared" si="58"/>
        <v>3.68</v>
      </c>
      <c r="N102" s="359">
        <f t="shared" si="105"/>
        <v>6.9</v>
      </c>
      <c r="O102" s="358">
        <f t="shared" si="60"/>
        <v>18.399999999999999</v>
      </c>
      <c r="P102" s="359">
        <f t="shared" si="106"/>
        <v>0.57499999999999996</v>
      </c>
      <c r="Q102" s="358">
        <f t="shared" si="61"/>
        <v>1.5333333333333334</v>
      </c>
      <c r="R102" s="359">
        <f t="shared" ref="R102:CR102" si="112">R77/R$91</f>
        <v>0.53076923076923077</v>
      </c>
      <c r="S102" s="358">
        <f t="shared" si="62"/>
        <v>1.4153846153846155</v>
      </c>
      <c r="T102" s="359">
        <f t="shared" si="112"/>
        <v>1.38</v>
      </c>
      <c r="U102" s="358">
        <f t="shared" si="63"/>
        <v>3.68</v>
      </c>
      <c r="V102" s="359">
        <f t="shared" si="112"/>
        <v>0.46</v>
      </c>
      <c r="W102" s="358">
        <f t="shared" si="64"/>
        <v>1.2266666666666666</v>
      </c>
      <c r="X102" s="359">
        <f t="shared" si="112"/>
        <v>0.62727272727272732</v>
      </c>
      <c r="Y102" s="358">
        <f t="shared" si="65"/>
        <v>1.6727272727272726</v>
      </c>
      <c r="Z102" s="359">
        <f t="shared" si="112"/>
        <v>7.6666666666666661E-2</v>
      </c>
      <c r="AA102" s="358">
        <f t="shared" si="66"/>
        <v>0.20444444444444446</v>
      </c>
      <c r="AB102" s="359">
        <f t="shared" si="112"/>
        <v>1.725E-3</v>
      </c>
      <c r="AC102" s="358">
        <f t="shared" si="67"/>
        <v>4.5999999999999999E-3</v>
      </c>
      <c r="AD102" s="359">
        <f t="shared" si="112"/>
        <v>0.10072992700729927</v>
      </c>
      <c r="AE102" s="358">
        <f t="shared" si="68"/>
        <v>0.2686131386861314</v>
      </c>
      <c r="AF102" s="359">
        <f t="shared" si="112"/>
        <v>4.9285714285714287E-2</v>
      </c>
      <c r="AG102" s="358">
        <f t="shared" si="69"/>
        <v>0.13142857142857142</v>
      </c>
      <c r="AH102" s="359">
        <f t="shared" si="112"/>
        <v>0.14374999999999999</v>
      </c>
      <c r="AI102" s="358">
        <f t="shared" si="70"/>
        <v>0.38333333333333336</v>
      </c>
      <c r="AJ102" s="359">
        <f t="shared" si="112"/>
        <v>7.2251308900523559E-2</v>
      </c>
      <c r="AK102" s="358">
        <f t="shared" si="71"/>
        <v>0.19267015706806281</v>
      </c>
      <c r="AL102" s="359">
        <f t="shared" si="112"/>
        <v>6.5714285714285711E-2</v>
      </c>
      <c r="AM102" s="358">
        <f t="shared" si="72"/>
        <v>0.17523809523809525</v>
      </c>
      <c r="AN102" s="359">
        <f t="shared" si="112"/>
        <v>9.5833333333333326E-3</v>
      </c>
      <c r="AO102" s="358">
        <f t="shared" si="73"/>
        <v>2.5555555555555557E-2</v>
      </c>
      <c r="AP102" s="359">
        <f t="shared" si="112"/>
        <v>0.15862068965517243</v>
      </c>
      <c r="AQ102" s="358">
        <f t="shared" si="74"/>
        <v>0.42298850574712643</v>
      </c>
      <c r="AR102" s="359">
        <f t="shared" si="112"/>
        <v>1.6428571428571428E-2</v>
      </c>
      <c r="AS102" s="358">
        <f t="shared" si="75"/>
        <v>4.3809523809523812E-2</v>
      </c>
      <c r="AT102" s="359">
        <f t="shared" si="112"/>
        <v>7.2631578947368422E-2</v>
      </c>
      <c r="AU102" s="358">
        <f t="shared" si="76"/>
        <v>0.19368421052631579</v>
      </c>
      <c r="AV102" s="359">
        <f t="shared" si="112"/>
        <v>5.7500000000000002E-2</v>
      </c>
      <c r="AW102" s="358">
        <f t="shared" si="77"/>
        <v>0.15333333333333332</v>
      </c>
      <c r="AX102" s="359">
        <f t="shared" si="112"/>
        <v>1.4375000000000001E-2</v>
      </c>
      <c r="AY102" s="358">
        <f t="shared" si="78"/>
        <v>3.833333333333333E-2</v>
      </c>
      <c r="AZ102" s="359">
        <f t="shared" si="112"/>
        <v>1.4375000000000001E-2</v>
      </c>
      <c r="BA102" s="358">
        <f t="shared" si="79"/>
        <v>3.833333333333333E-2</v>
      </c>
      <c r="BB102" s="359">
        <f t="shared" si="112"/>
        <v>0.17249999999999999</v>
      </c>
      <c r="BC102" s="358">
        <f t="shared" si="80"/>
        <v>0.46</v>
      </c>
      <c r="BD102" s="359">
        <f t="shared" si="112"/>
        <v>9.1999999999999998E-2</v>
      </c>
      <c r="BE102" s="358">
        <f t="shared" si="81"/>
        <v>0.24533333333333332</v>
      </c>
      <c r="BF102" s="359">
        <f t="shared" si="112"/>
        <v>2.2115384615384617E-2</v>
      </c>
      <c r="BG102" s="358">
        <f t="shared" si="82"/>
        <v>5.8974358974358973E-2</v>
      </c>
      <c r="BH102" s="359">
        <f t="shared" si="112"/>
        <v>3.4499999999999999E-3</v>
      </c>
      <c r="BI102" s="358">
        <f t="shared" si="83"/>
        <v>9.1999999999999998E-3</v>
      </c>
      <c r="BJ102" s="359">
        <f t="shared" si="112"/>
        <v>5.3906249999999996E-3</v>
      </c>
      <c r="BK102" s="358">
        <f t="shared" si="84"/>
        <v>1.4375000000000001E-2</v>
      </c>
      <c r="BL102" s="359">
        <f t="shared" si="112"/>
        <v>2.2622950819672132E-2</v>
      </c>
      <c r="BM102" s="358">
        <f t="shared" si="85"/>
        <v>6.032786885245902E-2</v>
      </c>
      <c r="BN102" s="359">
        <f t="shared" si="112"/>
        <v>6.4687499999999995E-2</v>
      </c>
      <c r="BO102" s="358">
        <f t="shared" si="86"/>
        <v>0.17249999999999999</v>
      </c>
      <c r="BP102" s="359">
        <f t="shared" si="112"/>
        <v>2.6538461538461539E-2</v>
      </c>
      <c r="BQ102" s="358">
        <f t="shared" si="87"/>
        <v>7.0769230769230765E-2</v>
      </c>
      <c r="BR102" s="359">
        <f t="shared" si="112"/>
        <v>1.4999999999999999E-2</v>
      </c>
      <c r="BS102" s="358">
        <f t="shared" si="88"/>
        <v>0.04</v>
      </c>
      <c r="BT102" s="357">
        <f t="shared" si="112"/>
        <v>2.4642857142857143E-2</v>
      </c>
      <c r="BU102" s="358">
        <f t="shared" si="89"/>
        <v>6.5714285714285711E-2</v>
      </c>
      <c r="BV102" s="359">
        <f t="shared" si="112"/>
        <v>1.0298507462686568E-2</v>
      </c>
      <c r="BW102" s="358">
        <f t="shared" si="90"/>
        <v>2.746268656716418E-2</v>
      </c>
      <c r="BX102" s="359">
        <f t="shared" si="112"/>
        <v>8.0859374999999994E-3</v>
      </c>
      <c r="BY102" s="358">
        <f t="shared" si="91"/>
        <v>2.1562499999999998E-2</v>
      </c>
      <c r="BZ102" s="357">
        <f t="shared" si="112"/>
        <v>8.6249999999999993E-2</v>
      </c>
      <c r="CA102" s="358">
        <f t="shared" si="92"/>
        <v>0.23</v>
      </c>
      <c r="CB102" s="359">
        <f t="shared" si="112"/>
        <v>2.9154929577464787E-2</v>
      </c>
      <c r="CC102" s="358">
        <f t="shared" si="93"/>
        <v>7.7746478873239433E-2</v>
      </c>
      <c r="CD102" s="359">
        <f t="shared" si="112"/>
        <v>1.0147058823529412E-3</v>
      </c>
      <c r="CE102" s="358">
        <f t="shared" si="94"/>
        <v>2.7058823529411765E-3</v>
      </c>
      <c r="CF102" s="359">
        <f t="shared" si="112"/>
        <v>6.9000000000000006E-2</v>
      </c>
      <c r="CG102" s="358">
        <f t="shared" si="95"/>
        <v>0.184</v>
      </c>
      <c r="CH102" s="357">
        <f t="shared" si="112"/>
        <v>7.1134020618556698E-2</v>
      </c>
      <c r="CI102" s="358">
        <f t="shared" si="96"/>
        <v>0.18969072164948453</v>
      </c>
      <c r="CJ102" s="359">
        <f t="shared" si="112"/>
        <v>0.24642857142857144</v>
      </c>
      <c r="CK102" s="358">
        <f t="shared" si="97"/>
        <v>0.65714285714285714</v>
      </c>
      <c r="CL102" s="359">
        <f t="shared" si="112"/>
        <v>8.6250000000000007E-3</v>
      </c>
      <c r="CM102" s="358">
        <f t="shared" si="98"/>
        <v>2.3E-2</v>
      </c>
      <c r="CN102" s="357">
        <f t="shared" si="112"/>
        <v>6.5714285714285718E-3</v>
      </c>
      <c r="CO102" s="358">
        <f t="shared" si="99"/>
        <v>1.7523809523809525E-2</v>
      </c>
      <c r="CP102" s="359">
        <f t="shared" si="112"/>
        <v>0.86250000000000004</v>
      </c>
      <c r="CQ102" s="358">
        <f t="shared" si="100"/>
        <v>2.2999999999999998</v>
      </c>
      <c r="CR102" s="359">
        <f t="shared" si="112"/>
        <v>6.8999999999999997E-4</v>
      </c>
      <c r="CS102" s="366">
        <f t="shared" si="101"/>
        <v>1.8400000000000001E-3</v>
      </c>
    </row>
    <row r="103" spans="1:97" s="25" customFormat="1">
      <c r="A103" s="339" t="s">
        <v>215</v>
      </c>
      <c r="B103" s="239">
        <v>40</v>
      </c>
      <c r="C103" s="239">
        <v>50</v>
      </c>
      <c r="D103" s="344">
        <f t="shared" si="55"/>
        <v>92</v>
      </c>
      <c r="E103" s="345">
        <f t="shared" si="102"/>
        <v>103.5</v>
      </c>
      <c r="F103" s="347">
        <f t="shared" si="56"/>
        <v>114.99999999999999</v>
      </c>
      <c r="H103" s="357">
        <f t="shared" si="103"/>
        <v>6.1333333333333337</v>
      </c>
      <c r="I103" s="358">
        <f t="shared" si="104"/>
        <v>7.6666666666666661</v>
      </c>
      <c r="J103" s="359">
        <f t="shared" si="103"/>
        <v>6.1333333333333337</v>
      </c>
      <c r="K103" s="358">
        <f t="shared" si="104"/>
        <v>7.6666666666666661</v>
      </c>
      <c r="L103" s="359">
        <f t="shared" si="57"/>
        <v>1.84</v>
      </c>
      <c r="M103" s="358">
        <f t="shared" si="58"/>
        <v>2.2999999999999998</v>
      </c>
      <c r="N103" s="359">
        <f t="shared" si="105"/>
        <v>9.1999999999999993</v>
      </c>
      <c r="O103" s="358">
        <f t="shared" si="60"/>
        <v>11.499999999999998</v>
      </c>
      <c r="P103" s="359">
        <f t="shared" si="106"/>
        <v>0.76666666666666672</v>
      </c>
      <c r="Q103" s="358">
        <f t="shared" si="61"/>
        <v>0.95833333333333326</v>
      </c>
      <c r="R103" s="359">
        <f t="shared" ref="R103:CR103" si="113">R78/R$91</f>
        <v>0.70769230769230773</v>
      </c>
      <c r="S103" s="358">
        <f t="shared" si="62"/>
        <v>0.88461538461538447</v>
      </c>
      <c r="T103" s="359">
        <f t="shared" si="113"/>
        <v>1.84</v>
      </c>
      <c r="U103" s="358">
        <f t="shared" si="63"/>
        <v>2.2999999999999998</v>
      </c>
      <c r="V103" s="359">
        <f t="shared" si="113"/>
        <v>0.61333333333333329</v>
      </c>
      <c r="W103" s="358">
        <f t="shared" si="64"/>
        <v>0.76666666666666661</v>
      </c>
      <c r="X103" s="359">
        <f t="shared" si="113"/>
        <v>0.83636363636363631</v>
      </c>
      <c r="Y103" s="358">
        <f t="shared" si="65"/>
        <v>1.0454545454545454</v>
      </c>
      <c r="Z103" s="359">
        <f t="shared" si="113"/>
        <v>0.10222222222222223</v>
      </c>
      <c r="AA103" s="358">
        <f t="shared" si="66"/>
        <v>0.12777777777777777</v>
      </c>
      <c r="AB103" s="359">
        <f t="shared" si="113"/>
        <v>2.3E-3</v>
      </c>
      <c r="AC103" s="358">
        <f t="shared" si="67"/>
        <v>2.8749999999999995E-3</v>
      </c>
      <c r="AD103" s="359">
        <f t="shared" si="113"/>
        <v>0.40291970802919708</v>
      </c>
      <c r="AE103" s="358">
        <f t="shared" si="68"/>
        <v>0.50364963503649629</v>
      </c>
      <c r="AF103" s="359">
        <f t="shared" si="113"/>
        <v>6.5714285714285711E-2</v>
      </c>
      <c r="AG103" s="358">
        <f t="shared" si="69"/>
        <v>8.2142857142857129E-2</v>
      </c>
      <c r="AH103" s="359">
        <f t="shared" si="113"/>
        <v>0.76666666666666672</v>
      </c>
      <c r="AI103" s="358">
        <f t="shared" si="70"/>
        <v>0.95833333333333326</v>
      </c>
      <c r="AJ103" s="359">
        <f t="shared" si="113"/>
        <v>9.6335078534031407E-2</v>
      </c>
      <c r="AK103" s="358">
        <f t="shared" si="71"/>
        <v>0.12041884816753926</v>
      </c>
      <c r="AL103" s="359">
        <f t="shared" si="113"/>
        <v>8.7619047619047624E-2</v>
      </c>
      <c r="AM103" s="358">
        <f t="shared" si="72"/>
        <v>0.10952380952380951</v>
      </c>
      <c r="AN103" s="359">
        <f t="shared" si="113"/>
        <v>3.833333333333333E-2</v>
      </c>
      <c r="AO103" s="358">
        <f t="shared" si="73"/>
        <v>4.7916666666666656E-2</v>
      </c>
      <c r="AP103" s="359">
        <f t="shared" si="113"/>
        <v>1.7624521072796936E-2</v>
      </c>
      <c r="AQ103" s="358">
        <f t="shared" si="74"/>
        <v>2.2030651340996167E-2</v>
      </c>
      <c r="AR103" s="359">
        <f t="shared" si="113"/>
        <v>2.1904761904761906E-2</v>
      </c>
      <c r="AS103" s="358">
        <f t="shared" si="75"/>
        <v>2.7380952380952377E-2</v>
      </c>
      <c r="AT103" s="359">
        <f t="shared" si="113"/>
        <v>9.6842105263157896E-2</v>
      </c>
      <c r="AU103" s="358">
        <f t="shared" si="76"/>
        <v>0.12105263157894736</v>
      </c>
      <c r="AV103" s="359">
        <f t="shared" si="113"/>
        <v>0.23</v>
      </c>
      <c r="AW103" s="358">
        <f t="shared" si="77"/>
        <v>0.28749999999999998</v>
      </c>
      <c r="AX103" s="359">
        <f t="shared" si="113"/>
        <v>7.6666666666666661E-2</v>
      </c>
      <c r="AY103" s="358">
        <f t="shared" si="78"/>
        <v>9.5833333333333326E-2</v>
      </c>
      <c r="AZ103" s="359">
        <f t="shared" si="113"/>
        <v>1.9166666666666665E-2</v>
      </c>
      <c r="BA103" s="358">
        <f t="shared" si="79"/>
        <v>2.3958333333333331E-2</v>
      </c>
      <c r="BB103" s="359">
        <f t="shared" si="113"/>
        <v>1.9166666666666665E-2</v>
      </c>
      <c r="BC103" s="358">
        <f t="shared" si="80"/>
        <v>2.3958333333333331E-2</v>
      </c>
      <c r="BD103" s="359">
        <f t="shared" si="113"/>
        <v>0.12266666666666666</v>
      </c>
      <c r="BE103" s="358">
        <f t="shared" si="81"/>
        <v>0.15333333333333332</v>
      </c>
      <c r="BF103" s="359">
        <f t="shared" si="113"/>
        <v>2.9487179487179487E-2</v>
      </c>
      <c r="BG103" s="358">
        <f t="shared" si="82"/>
        <v>3.6858974358974353E-2</v>
      </c>
      <c r="BH103" s="359">
        <f t="shared" si="113"/>
        <v>1.84E-2</v>
      </c>
      <c r="BI103" s="358">
        <f t="shared" si="83"/>
        <v>2.2999999999999996E-2</v>
      </c>
      <c r="BJ103" s="359">
        <f t="shared" si="113"/>
        <v>7.1875000000000003E-3</v>
      </c>
      <c r="BK103" s="358">
        <f t="shared" si="84"/>
        <v>8.9843749999999993E-3</v>
      </c>
      <c r="BL103" s="359">
        <f t="shared" si="113"/>
        <v>3.016393442622951E-2</v>
      </c>
      <c r="BM103" s="358">
        <f t="shared" si="85"/>
        <v>3.7704918032786881E-2</v>
      </c>
      <c r="BN103" s="359">
        <f t="shared" si="113"/>
        <v>7.1875000000000003E-3</v>
      </c>
      <c r="BO103" s="358">
        <f t="shared" si="86"/>
        <v>8.9843749999999993E-3</v>
      </c>
      <c r="BP103" s="359">
        <f t="shared" si="113"/>
        <v>3.5384615384615382E-2</v>
      </c>
      <c r="BQ103" s="358">
        <f t="shared" si="87"/>
        <v>4.4230769230769226E-2</v>
      </c>
      <c r="BR103" s="359">
        <f t="shared" si="113"/>
        <v>0.02</v>
      </c>
      <c r="BS103" s="358">
        <f t="shared" si="88"/>
        <v>2.4999999999999998E-2</v>
      </c>
      <c r="BT103" s="357">
        <f t="shared" si="113"/>
        <v>3.2857142857142856E-2</v>
      </c>
      <c r="BU103" s="358">
        <f t="shared" si="89"/>
        <v>4.1071428571428564E-2</v>
      </c>
      <c r="BV103" s="359">
        <f t="shared" si="113"/>
        <v>1.373134328358209E-2</v>
      </c>
      <c r="BW103" s="358">
        <f t="shared" si="90"/>
        <v>1.7164179104477609E-2</v>
      </c>
      <c r="BX103" s="359">
        <f t="shared" si="113"/>
        <v>3.5937500000000002E-3</v>
      </c>
      <c r="BY103" s="358">
        <f t="shared" si="91"/>
        <v>4.4921874999999997E-3</v>
      </c>
      <c r="BZ103" s="357">
        <f t="shared" si="113"/>
        <v>0.34499999999999997</v>
      </c>
      <c r="CA103" s="358">
        <f t="shared" si="92"/>
        <v>0.43124999999999991</v>
      </c>
      <c r="CB103" s="359">
        <f t="shared" si="113"/>
        <v>3.2394366197183097E-3</v>
      </c>
      <c r="CC103" s="358">
        <f t="shared" si="93"/>
        <v>4.0492957746478871E-3</v>
      </c>
      <c r="CD103" s="359">
        <f t="shared" si="113"/>
        <v>1.3529411764705882E-3</v>
      </c>
      <c r="CE103" s="358">
        <f t="shared" si="94"/>
        <v>1.691176470588235E-3</v>
      </c>
      <c r="CF103" s="359">
        <f t="shared" si="113"/>
        <v>9.1999999999999998E-2</v>
      </c>
      <c r="CG103" s="358">
        <f t="shared" si="95"/>
        <v>0.11499999999999999</v>
      </c>
      <c r="CH103" s="357">
        <f t="shared" si="113"/>
        <v>0.28453608247422679</v>
      </c>
      <c r="CI103" s="358">
        <f t="shared" si="96"/>
        <v>0.35567010309278346</v>
      </c>
      <c r="CJ103" s="359">
        <f t="shared" si="113"/>
        <v>2.7380952380952381E-2</v>
      </c>
      <c r="CK103" s="358">
        <f t="shared" si="97"/>
        <v>3.4226190476190473E-2</v>
      </c>
      <c r="CL103" s="359">
        <f t="shared" si="113"/>
        <v>1.15E-2</v>
      </c>
      <c r="CM103" s="358">
        <f t="shared" si="98"/>
        <v>1.4374999999999999E-2</v>
      </c>
      <c r="CN103" s="357">
        <f t="shared" si="113"/>
        <v>8.7619047619047624E-3</v>
      </c>
      <c r="CO103" s="358">
        <f t="shared" si="99"/>
        <v>1.0952380952380951E-2</v>
      </c>
      <c r="CP103" s="359">
        <f t="shared" si="113"/>
        <v>1.1499999999999999</v>
      </c>
      <c r="CQ103" s="358">
        <f t="shared" si="100"/>
        <v>1.4374999999999998</v>
      </c>
      <c r="CR103" s="359">
        <f t="shared" si="113"/>
        <v>9.2000000000000003E-4</v>
      </c>
      <c r="CS103" s="366">
        <f t="shared" si="101"/>
        <v>1.1499999999999998E-3</v>
      </c>
    </row>
    <row r="104" spans="1:97" s="25" customFormat="1">
      <c r="A104" s="340" t="s">
        <v>202</v>
      </c>
      <c r="B104" s="239">
        <v>30</v>
      </c>
      <c r="C104" s="239">
        <v>70</v>
      </c>
      <c r="D104" s="344">
        <f t="shared" si="55"/>
        <v>69</v>
      </c>
      <c r="E104" s="345">
        <f t="shared" si="102"/>
        <v>115</v>
      </c>
      <c r="F104" s="347">
        <f t="shared" si="56"/>
        <v>161</v>
      </c>
      <c r="H104" s="357">
        <f t="shared" si="103"/>
        <v>4.5999999999999996</v>
      </c>
      <c r="I104" s="358">
        <f t="shared" si="104"/>
        <v>10.733333333333333</v>
      </c>
      <c r="J104" s="359">
        <f t="shared" si="103"/>
        <v>4.5999999999999996</v>
      </c>
      <c r="K104" s="358">
        <f t="shared" si="104"/>
        <v>10.733333333333333</v>
      </c>
      <c r="L104" s="359">
        <f t="shared" si="57"/>
        <v>1.38</v>
      </c>
      <c r="M104" s="358">
        <f t="shared" si="58"/>
        <v>3.22</v>
      </c>
      <c r="N104" s="359">
        <f t="shared" si="105"/>
        <v>6.9</v>
      </c>
      <c r="O104" s="358">
        <f t="shared" si="60"/>
        <v>16.100000000000001</v>
      </c>
      <c r="P104" s="359">
        <f t="shared" si="106"/>
        <v>0.57499999999999996</v>
      </c>
      <c r="Q104" s="358">
        <f t="shared" si="61"/>
        <v>1.3416666666666666</v>
      </c>
      <c r="R104" s="359">
        <f t="shared" ref="R104:CR104" si="114">R79/R$91</f>
        <v>0.53076923076923077</v>
      </c>
      <c r="S104" s="358">
        <f t="shared" si="62"/>
        <v>1.2384615384615385</v>
      </c>
      <c r="T104" s="359">
        <f t="shared" si="114"/>
        <v>1.38</v>
      </c>
      <c r="U104" s="358">
        <f t="shared" si="63"/>
        <v>3.22</v>
      </c>
      <c r="V104" s="359">
        <f t="shared" si="114"/>
        <v>0.46</v>
      </c>
      <c r="W104" s="358">
        <f t="shared" si="64"/>
        <v>1.0733333333333333</v>
      </c>
      <c r="X104" s="359">
        <f t="shared" si="114"/>
        <v>0.62727272727272732</v>
      </c>
      <c r="Y104" s="358">
        <f t="shared" si="65"/>
        <v>1.4636363636363636</v>
      </c>
      <c r="Z104" s="359">
        <f t="shared" si="114"/>
        <v>7.6666666666666661E-2</v>
      </c>
      <c r="AA104" s="358">
        <f t="shared" si="66"/>
        <v>0.17888888888888888</v>
      </c>
      <c r="AB104" s="359">
        <f t="shared" si="114"/>
        <v>2.07E-2</v>
      </c>
      <c r="AC104" s="358">
        <f t="shared" si="67"/>
        <v>4.8300000000000003E-2</v>
      </c>
      <c r="AD104" s="359">
        <f t="shared" si="114"/>
        <v>2.5182481751824817E-2</v>
      </c>
      <c r="AE104" s="358">
        <f t="shared" si="68"/>
        <v>5.8759124087591243E-2</v>
      </c>
      <c r="AF104" s="359">
        <f t="shared" si="114"/>
        <v>4.9285714285714287E-2</v>
      </c>
      <c r="AG104" s="358">
        <f t="shared" si="69"/>
        <v>0.115</v>
      </c>
      <c r="AH104" s="359">
        <f t="shared" si="114"/>
        <v>0.14374999999999999</v>
      </c>
      <c r="AI104" s="358">
        <f t="shared" si="70"/>
        <v>0.33541666666666664</v>
      </c>
      <c r="AJ104" s="359">
        <f t="shared" si="114"/>
        <v>7.2251308900523559E-2</v>
      </c>
      <c r="AK104" s="358">
        <f t="shared" si="71"/>
        <v>0.16858638743455498</v>
      </c>
      <c r="AL104" s="359">
        <f t="shared" si="114"/>
        <v>6.5714285714285711E-2</v>
      </c>
      <c r="AM104" s="358">
        <f t="shared" si="72"/>
        <v>0.15333333333333332</v>
      </c>
      <c r="AN104" s="359">
        <f t="shared" si="114"/>
        <v>2.8750000000000001E-2</v>
      </c>
      <c r="AO104" s="358">
        <f t="shared" si="73"/>
        <v>6.7083333333333328E-2</v>
      </c>
      <c r="AP104" s="359">
        <f t="shared" si="114"/>
        <v>5.2873563218390804E-2</v>
      </c>
      <c r="AQ104" s="358">
        <f t="shared" si="74"/>
        <v>0.12337164750957855</v>
      </c>
      <c r="AR104" s="359">
        <f t="shared" si="114"/>
        <v>0.19714285714285715</v>
      </c>
      <c r="AS104" s="358">
        <f t="shared" si="75"/>
        <v>0.46</v>
      </c>
      <c r="AT104" s="359">
        <f t="shared" si="114"/>
        <v>7.2631578947368422E-2</v>
      </c>
      <c r="AU104" s="358">
        <f t="shared" si="76"/>
        <v>0.1694736842105263</v>
      </c>
      <c r="AV104" s="359">
        <f t="shared" si="114"/>
        <v>1.4375000000000001E-2</v>
      </c>
      <c r="AW104" s="358">
        <f t="shared" si="77"/>
        <v>3.3541666666666664E-2</v>
      </c>
      <c r="AX104" s="359">
        <f t="shared" si="114"/>
        <v>1.4375000000000001E-2</v>
      </c>
      <c r="AY104" s="358">
        <f t="shared" si="78"/>
        <v>3.3541666666666664E-2</v>
      </c>
      <c r="AZ104" s="359">
        <f t="shared" si="114"/>
        <v>0.17249999999999999</v>
      </c>
      <c r="BA104" s="358">
        <f t="shared" si="79"/>
        <v>0.40250000000000002</v>
      </c>
      <c r="BB104" s="359">
        <f t="shared" si="114"/>
        <v>5.7500000000000002E-2</v>
      </c>
      <c r="BC104" s="358">
        <f t="shared" si="80"/>
        <v>0.13416666666666666</v>
      </c>
      <c r="BD104" s="359">
        <f t="shared" si="114"/>
        <v>9.1999999999999998E-2</v>
      </c>
      <c r="BE104" s="358">
        <f t="shared" si="81"/>
        <v>0.21466666666666667</v>
      </c>
      <c r="BF104" s="359">
        <f t="shared" si="114"/>
        <v>0.26538461538461539</v>
      </c>
      <c r="BG104" s="358">
        <f t="shared" si="82"/>
        <v>0.61923076923076925</v>
      </c>
      <c r="BH104" s="359">
        <f t="shared" si="114"/>
        <v>3.4499999999999999E-3</v>
      </c>
      <c r="BI104" s="358">
        <f t="shared" si="83"/>
        <v>8.0499999999999999E-3</v>
      </c>
      <c r="BJ104" s="359">
        <f t="shared" si="114"/>
        <v>6.4687499999999995E-2</v>
      </c>
      <c r="BK104" s="358">
        <f t="shared" si="84"/>
        <v>0.1509375</v>
      </c>
      <c r="BL104" s="359">
        <f t="shared" si="114"/>
        <v>2.2622950819672132E-2</v>
      </c>
      <c r="BM104" s="358">
        <f t="shared" si="85"/>
        <v>5.2786885245901638E-2</v>
      </c>
      <c r="BN104" s="359">
        <f t="shared" si="114"/>
        <v>2.1562499999999998E-2</v>
      </c>
      <c r="BO104" s="358">
        <f t="shared" si="86"/>
        <v>5.0312500000000003E-2</v>
      </c>
      <c r="BP104" s="359">
        <f t="shared" si="114"/>
        <v>2.6538461538461539E-2</v>
      </c>
      <c r="BQ104" s="358">
        <f t="shared" si="87"/>
        <v>6.1923076923076921E-2</v>
      </c>
      <c r="BR104" s="359">
        <f t="shared" si="114"/>
        <v>1.4999999999999999E-2</v>
      </c>
      <c r="BS104" s="358">
        <f t="shared" si="88"/>
        <v>3.5000000000000003E-2</v>
      </c>
      <c r="BT104" s="357">
        <f t="shared" si="114"/>
        <v>2.4642857142857143E-2</v>
      </c>
      <c r="BU104" s="358">
        <f t="shared" si="89"/>
        <v>5.7500000000000002E-2</v>
      </c>
      <c r="BV104" s="359">
        <f t="shared" si="114"/>
        <v>1.0298507462686568E-2</v>
      </c>
      <c r="BW104" s="358">
        <f t="shared" si="90"/>
        <v>2.4029850746268656E-2</v>
      </c>
      <c r="BX104" s="359">
        <f t="shared" si="114"/>
        <v>2.6953124999999998E-3</v>
      </c>
      <c r="BY104" s="358">
        <f t="shared" si="91"/>
        <v>6.2890625000000004E-3</v>
      </c>
      <c r="BZ104" s="357">
        <f t="shared" si="114"/>
        <v>2.1562499999999998E-2</v>
      </c>
      <c r="CA104" s="358">
        <f t="shared" si="92"/>
        <v>5.0312500000000003E-2</v>
      </c>
      <c r="CB104" s="359">
        <f t="shared" si="114"/>
        <v>9.7183098591549291E-3</v>
      </c>
      <c r="CC104" s="358">
        <f t="shared" si="93"/>
        <v>2.2676056338028168E-2</v>
      </c>
      <c r="CD104" s="359">
        <f t="shared" si="114"/>
        <v>1.2176470588235294E-2</v>
      </c>
      <c r="CE104" s="358">
        <f t="shared" si="94"/>
        <v>2.8411764705882352E-2</v>
      </c>
      <c r="CF104" s="359">
        <f t="shared" si="114"/>
        <v>6.9000000000000006E-2</v>
      </c>
      <c r="CG104" s="358">
        <f t="shared" si="95"/>
        <v>0.161</v>
      </c>
      <c r="CH104" s="357">
        <f t="shared" si="114"/>
        <v>1.7783505154639175E-2</v>
      </c>
      <c r="CI104" s="358">
        <f t="shared" si="96"/>
        <v>4.1494845360824741E-2</v>
      </c>
      <c r="CJ104" s="359">
        <f t="shared" si="114"/>
        <v>8.2142857142857142E-2</v>
      </c>
      <c r="CK104" s="358">
        <f t="shared" si="97"/>
        <v>0.19166666666666668</v>
      </c>
      <c r="CL104" s="359">
        <f t="shared" si="114"/>
        <v>0.10349999999999999</v>
      </c>
      <c r="CM104" s="358">
        <f t="shared" si="98"/>
        <v>0.24149999999999999</v>
      </c>
      <c r="CN104" s="357">
        <f t="shared" si="114"/>
        <v>6.5714285714285718E-3</v>
      </c>
      <c r="CO104" s="358">
        <f t="shared" si="99"/>
        <v>1.5333333333333332E-2</v>
      </c>
      <c r="CP104" s="359">
        <f t="shared" si="114"/>
        <v>0.86250000000000004</v>
      </c>
      <c r="CQ104" s="358">
        <f t="shared" si="100"/>
        <v>2.0125000000000002</v>
      </c>
      <c r="CR104" s="359">
        <f t="shared" si="114"/>
        <v>6.8999999999999997E-4</v>
      </c>
      <c r="CS104" s="366">
        <f t="shared" si="101"/>
        <v>1.6100000000000001E-3</v>
      </c>
    </row>
    <row r="105" spans="1:97" s="25" customFormat="1">
      <c r="A105" s="109" t="s">
        <v>524</v>
      </c>
      <c r="B105" s="239">
        <v>40</v>
      </c>
      <c r="C105" s="239">
        <v>60</v>
      </c>
      <c r="D105" s="344">
        <f t="shared" si="55"/>
        <v>92</v>
      </c>
      <c r="E105" s="345">
        <f t="shared" si="102"/>
        <v>115</v>
      </c>
      <c r="F105" s="347">
        <f t="shared" si="56"/>
        <v>138</v>
      </c>
      <c r="H105" s="357">
        <f t="shared" si="103"/>
        <v>6.1333333333333337</v>
      </c>
      <c r="I105" s="358">
        <f t="shared" si="104"/>
        <v>9.1999999999999993</v>
      </c>
      <c r="J105" s="359">
        <f t="shared" si="103"/>
        <v>6.1333333333333337</v>
      </c>
      <c r="K105" s="358">
        <f t="shared" si="104"/>
        <v>9.1999999999999993</v>
      </c>
      <c r="L105" s="359">
        <f t="shared" si="57"/>
        <v>1.84</v>
      </c>
      <c r="M105" s="358">
        <f t="shared" si="58"/>
        <v>2.76</v>
      </c>
      <c r="N105" s="359">
        <f t="shared" si="105"/>
        <v>9.1999999999999993</v>
      </c>
      <c r="O105" s="358">
        <f t="shared" si="60"/>
        <v>13.8</v>
      </c>
      <c r="P105" s="359">
        <f t="shared" si="106"/>
        <v>0.76666666666666672</v>
      </c>
      <c r="Q105" s="358">
        <f t="shared" si="61"/>
        <v>1.1499999999999999</v>
      </c>
      <c r="R105" s="359">
        <f t="shared" ref="R105:CR105" si="115">R80/R$91</f>
        <v>0.70769230769230773</v>
      </c>
      <c r="S105" s="358">
        <f t="shared" si="62"/>
        <v>1.0615384615384615</v>
      </c>
      <c r="T105" s="359">
        <f t="shared" si="115"/>
        <v>1.84</v>
      </c>
      <c r="U105" s="358">
        <f t="shared" si="63"/>
        <v>2.76</v>
      </c>
      <c r="V105" s="359">
        <f t="shared" si="115"/>
        <v>0.61333333333333329</v>
      </c>
      <c r="W105" s="358">
        <f t="shared" si="64"/>
        <v>0.92</v>
      </c>
      <c r="X105" s="359">
        <f t="shared" si="115"/>
        <v>0.83636363636363631</v>
      </c>
      <c r="Y105" s="358">
        <f t="shared" si="65"/>
        <v>1.2545454545454546</v>
      </c>
      <c r="Z105" s="359">
        <f t="shared" si="115"/>
        <v>0.10222222222222223</v>
      </c>
      <c r="AA105" s="358">
        <f t="shared" si="66"/>
        <v>0.15333333333333332</v>
      </c>
      <c r="AB105" s="359">
        <f t="shared" si="115"/>
        <v>9.1999999999999998E-3</v>
      </c>
      <c r="AC105" s="358">
        <f t="shared" si="67"/>
        <v>1.38E-2</v>
      </c>
      <c r="AD105" s="359">
        <f t="shared" si="115"/>
        <v>3.3576642335766425E-2</v>
      </c>
      <c r="AE105" s="358">
        <f t="shared" si="68"/>
        <v>5.0364963503649635E-2</v>
      </c>
      <c r="AF105" s="359">
        <f t="shared" si="115"/>
        <v>6.5714285714285711E-2</v>
      </c>
      <c r="AG105" s="358">
        <f t="shared" si="69"/>
        <v>9.8571428571428574E-2</v>
      </c>
      <c r="AH105" s="359">
        <f t="shared" si="115"/>
        <v>2.2999999999999998</v>
      </c>
      <c r="AI105" s="358">
        <f t="shared" si="70"/>
        <v>3.45</v>
      </c>
      <c r="AJ105" s="359">
        <f t="shared" si="115"/>
        <v>9.6335078534031407E-2</v>
      </c>
      <c r="AK105" s="358">
        <f t="shared" si="71"/>
        <v>0.14450261780104712</v>
      </c>
      <c r="AL105" s="359">
        <f t="shared" si="115"/>
        <v>8.7619047619047624E-2</v>
      </c>
      <c r="AM105" s="358">
        <f t="shared" si="72"/>
        <v>0.13142857142857142</v>
      </c>
      <c r="AN105" s="359">
        <f t="shared" si="115"/>
        <v>1.2777777777777779E-2</v>
      </c>
      <c r="AO105" s="358">
        <f t="shared" si="73"/>
        <v>1.9166666666666665E-2</v>
      </c>
      <c r="AP105" s="359">
        <f t="shared" si="115"/>
        <v>1.7624521072796936E-2</v>
      </c>
      <c r="AQ105" s="358">
        <f t="shared" si="74"/>
        <v>2.6436781609195402E-2</v>
      </c>
      <c r="AR105" s="359">
        <f t="shared" si="115"/>
        <v>8.7619047619047624E-2</v>
      </c>
      <c r="AS105" s="358">
        <f t="shared" si="75"/>
        <v>0.13142857142857142</v>
      </c>
      <c r="AT105" s="359">
        <f t="shared" si="115"/>
        <v>9.6842105263157896E-2</v>
      </c>
      <c r="AU105" s="358">
        <f t="shared" si="76"/>
        <v>0.14526315789473684</v>
      </c>
      <c r="AV105" s="359">
        <f t="shared" si="115"/>
        <v>1.9166666666666665E-2</v>
      </c>
      <c r="AW105" s="358">
        <f t="shared" si="77"/>
        <v>2.8750000000000001E-2</v>
      </c>
      <c r="AX105" s="359">
        <f t="shared" si="115"/>
        <v>0.23</v>
      </c>
      <c r="AY105" s="358">
        <f t="shared" si="78"/>
        <v>0.34499999999999997</v>
      </c>
      <c r="AZ105" s="359">
        <f t="shared" si="115"/>
        <v>7.6666666666666661E-2</v>
      </c>
      <c r="BA105" s="358">
        <f t="shared" si="79"/>
        <v>0.115</v>
      </c>
      <c r="BB105" s="359">
        <f t="shared" si="115"/>
        <v>1.9166666666666665E-2</v>
      </c>
      <c r="BC105" s="358">
        <f t="shared" si="80"/>
        <v>2.8750000000000001E-2</v>
      </c>
      <c r="BD105" s="359">
        <f t="shared" si="115"/>
        <v>0.12266666666666666</v>
      </c>
      <c r="BE105" s="358">
        <f t="shared" si="81"/>
        <v>0.184</v>
      </c>
      <c r="BF105" s="359">
        <f t="shared" si="115"/>
        <v>0.11794871794871795</v>
      </c>
      <c r="BG105" s="358">
        <f t="shared" si="82"/>
        <v>0.17692307692307693</v>
      </c>
      <c r="BH105" s="359">
        <f t="shared" si="115"/>
        <v>5.5199999999999999E-2</v>
      </c>
      <c r="BI105" s="358">
        <f t="shared" si="83"/>
        <v>8.2799999999999999E-2</v>
      </c>
      <c r="BJ105" s="359">
        <f t="shared" si="115"/>
        <v>2.8750000000000001E-2</v>
      </c>
      <c r="BK105" s="358">
        <f t="shared" si="84"/>
        <v>4.3124999999999997E-2</v>
      </c>
      <c r="BL105" s="359">
        <f t="shared" si="115"/>
        <v>3.016393442622951E-2</v>
      </c>
      <c r="BM105" s="358">
        <f t="shared" si="85"/>
        <v>4.5245901639344263E-2</v>
      </c>
      <c r="BN105" s="359">
        <f t="shared" si="115"/>
        <v>7.1875000000000003E-3</v>
      </c>
      <c r="BO105" s="358">
        <f t="shared" si="86"/>
        <v>1.0781249999999999E-2</v>
      </c>
      <c r="BP105" s="359">
        <f t="shared" si="115"/>
        <v>3.5384615384615382E-2</v>
      </c>
      <c r="BQ105" s="358">
        <f t="shared" si="87"/>
        <v>5.3076923076923077E-2</v>
      </c>
      <c r="BR105" s="359">
        <f t="shared" si="115"/>
        <v>0.02</v>
      </c>
      <c r="BS105" s="358">
        <f t="shared" si="88"/>
        <v>0.03</v>
      </c>
      <c r="BT105" s="357">
        <f t="shared" si="115"/>
        <v>3.2857142857142856E-2</v>
      </c>
      <c r="BU105" s="358">
        <f t="shared" si="89"/>
        <v>4.9285714285714287E-2</v>
      </c>
      <c r="BV105" s="359">
        <f t="shared" si="115"/>
        <v>1.373134328358209E-2</v>
      </c>
      <c r="BW105" s="358">
        <f t="shared" si="90"/>
        <v>2.0597014925373136E-2</v>
      </c>
      <c r="BX105" s="359">
        <f t="shared" si="115"/>
        <v>1.0781249999999999E-2</v>
      </c>
      <c r="BY105" s="358">
        <f t="shared" si="91"/>
        <v>1.6171874999999999E-2</v>
      </c>
      <c r="BZ105" s="357">
        <f t="shared" si="115"/>
        <v>2.8750000000000001E-2</v>
      </c>
      <c r="CA105" s="358">
        <f t="shared" si="92"/>
        <v>4.3124999999999997E-2</v>
      </c>
      <c r="CB105" s="359">
        <f t="shared" si="115"/>
        <v>3.2394366197183097E-3</v>
      </c>
      <c r="CC105" s="358">
        <f t="shared" si="93"/>
        <v>4.8591549295774646E-3</v>
      </c>
      <c r="CD105" s="359">
        <f t="shared" si="115"/>
        <v>5.4117647058823529E-3</v>
      </c>
      <c r="CE105" s="358">
        <f t="shared" si="94"/>
        <v>8.1176470588235298E-3</v>
      </c>
      <c r="CF105" s="359">
        <f t="shared" si="115"/>
        <v>9.1999999999999998E-2</v>
      </c>
      <c r="CG105" s="358">
        <f t="shared" si="95"/>
        <v>0.13800000000000001</v>
      </c>
      <c r="CH105" s="357">
        <f t="shared" si="115"/>
        <v>2.3711340206185566E-2</v>
      </c>
      <c r="CI105" s="358">
        <f t="shared" si="96"/>
        <v>3.5567010309278349E-2</v>
      </c>
      <c r="CJ105" s="359">
        <f t="shared" si="115"/>
        <v>2.7380952380952381E-2</v>
      </c>
      <c r="CK105" s="358">
        <f t="shared" si="97"/>
        <v>4.1071428571428571E-2</v>
      </c>
      <c r="CL105" s="359">
        <f t="shared" si="115"/>
        <v>4.5999999999999999E-2</v>
      </c>
      <c r="CM105" s="358">
        <f t="shared" si="98"/>
        <v>6.9000000000000006E-2</v>
      </c>
      <c r="CN105" s="357">
        <f t="shared" si="115"/>
        <v>8.7619047619047624E-3</v>
      </c>
      <c r="CO105" s="358">
        <f t="shared" si="99"/>
        <v>1.3142857142857144E-2</v>
      </c>
      <c r="CP105" s="359">
        <f t="shared" si="115"/>
        <v>1.1499999999999999</v>
      </c>
      <c r="CQ105" s="358">
        <f t="shared" si="100"/>
        <v>1.7250000000000001</v>
      </c>
      <c r="CR105" s="359">
        <f t="shared" si="115"/>
        <v>9.2000000000000003E-4</v>
      </c>
      <c r="CS105" s="366">
        <f t="shared" si="101"/>
        <v>1.3799999999999999E-3</v>
      </c>
    </row>
    <row r="106" spans="1:97" s="25" customFormat="1">
      <c r="A106" s="25" t="s">
        <v>137</v>
      </c>
      <c r="B106" s="239">
        <v>50</v>
      </c>
      <c r="C106" s="239">
        <v>60</v>
      </c>
      <c r="D106" s="344">
        <f t="shared" si="55"/>
        <v>115</v>
      </c>
      <c r="E106" s="345">
        <f t="shared" si="102"/>
        <v>126.5</v>
      </c>
      <c r="F106" s="347">
        <f t="shared" si="56"/>
        <v>138</v>
      </c>
      <c r="H106" s="357">
        <f t="shared" si="103"/>
        <v>7.666666666666667</v>
      </c>
      <c r="I106" s="358">
        <f t="shared" si="104"/>
        <v>9.1999999999999993</v>
      </c>
      <c r="J106" s="359">
        <f t="shared" si="103"/>
        <v>7.666666666666667</v>
      </c>
      <c r="K106" s="358">
        <f t="shared" si="104"/>
        <v>9.1999999999999993</v>
      </c>
      <c r="L106" s="359">
        <f t="shared" si="57"/>
        <v>2.2999999999999998</v>
      </c>
      <c r="M106" s="358">
        <f t="shared" si="58"/>
        <v>2.76</v>
      </c>
      <c r="N106" s="359">
        <f t="shared" si="105"/>
        <v>11.5</v>
      </c>
      <c r="O106" s="358">
        <f t="shared" si="60"/>
        <v>13.8</v>
      </c>
      <c r="P106" s="359">
        <f t="shared" si="106"/>
        <v>0.95833333333333337</v>
      </c>
      <c r="Q106" s="358">
        <f t="shared" si="61"/>
        <v>1.1499999999999999</v>
      </c>
      <c r="R106" s="359">
        <f t="shared" ref="R106:CR106" si="116">R81/R$91</f>
        <v>0.88461538461538458</v>
      </c>
      <c r="S106" s="358">
        <f t="shared" si="62"/>
        <v>1.0615384615384615</v>
      </c>
      <c r="T106" s="359">
        <f t="shared" si="116"/>
        <v>2.2999999999999998</v>
      </c>
      <c r="U106" s="358">
        <f t="shared" si="63"/>
        <v>2.76</v>
      </c>
      <c r="V106" s="359">
        <f t="shared" si="116"/>
        <v>0.76666666666666672</v>
      </c>
      <c r="W106" s="358">
        <f t="shared" si="64"/>
        <v>0.92</v>
      </c>
      <c r="X106" s="359">
        <f t="shared" si="116"/>
        <v>1.0454545454545454</v>
      </c>
      <c r="Y106" s="358">
        <f t="shared" si="65"/>
        <v>1.2545454545454546</v>
      </c>
      <c r="Z106" s="359">
        <f t="shared" si="116"/>
        <v>0.12777777777777777</v>
      </c>
      <c r="AA106" s="358">
        <f t="shared" si="66"/>
        <v>0.15333333333333332</v>
      </c>
      <c r="AB106" s="359">
        <f t="shared" si="116"/>
        <v>1.15E-2</v>
      </c>
      <c r="AC106" s="358">
        <f t="shared" si="67"/>
        <v>1.38E-2</v>
      </c>
      <c r="AD106" s="359">
        <f t="shared" si="116"/>
        <v>0.16788321167883211</v>
      </c>
      <c r="AE106" s="358">
        <f t="shared" si="68"/>
        <v>0.20145985401459854</v>
      </c>
      <c r="AF106" s="359">
        <f t="shared" si="116"/>
        <v>8.2142857142857142E-2</v>
      </c>
      <c r="AG106" s="358">
        <f t="shared" si="69"/>
        <v>9.8571428571428574E-2</v>
      </c>
      <c r="AH106" s="359">
        <f t="shared" si="116"/>
        <v>0.95833333333333337</v>
      </c>
      <c r="AI106" s="358">
        <f t="shared" si="70"/>
        <v>1.1499999999999999</v>
      </c>
      <c r="AJ106" s="359">
        <f t="shared" si="116"/>
        <v>0.12041884816753927</v>
      </c>
      <c r="AK106" s="358">
        <f t="shared" si="71"/>
        <v>0.14450261780104712</v>
      </c>
      <c r="AL106" s="359">
        <f t="shared" si="116"/>
        <v>0.10952380952380952</v>
      </c>
      <c r="AM106" s="358">
        <f t="shared" si="72"/>
        <v>0.13142857142857142</v>
      </c>
      <c r="AN106" s="359">
        <f t="shared" si="116"/>
        <v>6.3888888888888884E-2</v>
      </c>
      <c r="AO106" s="358">
        <f t="shared" si="73"/>
        <v>7.6666666666666661E-2</v>
      </c>
      <c r="AP106" s="359">
        <f t="shared" si="116"/>
        <v>8.8122605363984668E-2</v>
      </c>
      <c r="AQ106" s="358">
        <f t="shared" si="74"/>
        <v>0.10574712643678161</v>
      </c>
      <c r="AR106" s="359">
        <f t="shared" si="116"/>
        <v>0.10952380952380952</v>
      </c>
      <c r="AS106" s="358">
        <f t="shared" si="75"/>
        <v>0.13142857142857142</v>
      </c>
      <c r="AT106" s="359">
        <f t="shared" si="116"/>
        <v>0.12105263157894737</v>
      </c>
      <c r="AU106" s="358">
        <f t="shared" si="76"/>
        <v>0.14526315789473684</v>
      </c>
      <c r="AV106" s="359">
        <f t="shared" si="116"/>
        <v>9.583333333333334E-2</v>
      </c>
      <c r="AW106" s="358">
        <f t="shared" si="77"/>
        <v>0.115</v>
      </c>
      <c r="AX106" s="359">
        <f t="shared" si="116"/>
        <v>9.583333333333334E-2</v>
      </c>
      <c r="AY106" s="358">
        <f t="shared" si="78"/>
        <v>0.115</v>
      </c>
      <c r="AZ106" s="359">
        <f t="shared" si="116"/>
        <v>9.583333333333334E-2</v>
      </c>
      <c r="BA106" s="358">
        <f t="shared" si="79"/>
        <v>0.115</v>
      </c>
      <c r="BB106" s="359">
        <f t="shared" si="116"/>
        <v>9.583333333333334E-2</v>
      </c>
      <c r="BC106" s="358">
        <f t="shared" si="80"/>
        <v>0.115</v>
      </c>
      <c r="BD106" s="359">
        <f t="shared" si="116"/>
        <v>0.15333333333333332</v>
      </c>
      <c r="BE106" s="358">
        <f t="shared" si="81"/>
        <v>0.184</v>
      </c>
      <c r="BF106" s="359">
        <f t="shared" si="116"/>
        <v>0.14743589743589744</v>
      </c>
      <c r="BG106" s="358">
        <f t="shared" si="82"/>
        <v>0.17692307692307693</v>
      </c>
      <c r="BH106" s="359">
        <f t="shared" si="116"/>
        <v>2.3E-2</v>
      </c>
      <c r="BI106" s="358">
        <f t="shared" si="83"/>
        <v>2.76E-2</v>
      </c>
      <c r="BJ106" s="359">
        <f t="shared" si="116"/>
        <v>3.5937499999999997E-2</v>
      </c>
      <c r="BK106" s="358">
        <f t="shared" si="84"/>
        <v>4.3124999999999997E-2</v>
      </c>
      <c r="BL106" s="359">
        <f t="shared" si="116"/>
        <v>3.7704918032786888E-2</v>
      </c>
      <c r="BM106" s="358">
        <f t="shared" si="85"/>
        <v>4.5245901639344263E-2</v>
      </c>
      <c r="BN106" s="359">
        <f t="shared" si="116"/>
        <v>3.5937499999999997E-2</v>
      </c>
      <c r="BO106" s="358">
        <f t="shared" si="86"/>
        <v>4.3124999999999997E-2</v>
      </c>
      <c r="BP106" s="359">
        <f t="shared" si="116"/>
        <v>4.4230769230769233E-2</v>
      </c>
      <c r="BQ106" s="358">
        <f t="shared" si="87"/>
        <v>5.3076923076923077E-2</v>
      </c>
      <c r="BR106" s="359">
        <f t="shared" si="116"/>
        <v>2.5000000000000001E-2</v>
      </c>
      <c r="BS106" s="358">
        <f t="shared" si="88"/>
        <v>0.03</v>
      </c>
      <c r="BT106" s="357">
        <f t="shared" si="116"/>
        <v>4.1071428571428571E-2</v>
      </c>
      <c r="BU106" s="358">
        <f t="shared" si="89"/>
        <v>4.9285714285714287E-2</v>
      </c>
      <c r="BV106" s="359">
        <f t="shared" si="116"/>
        <v>1.7164179104477612E-2</v>
      </c>
      <c r="BW106" s="358">
        <f t="shared" si="90"/>
        <v>2.0597014925373136E-2</v>
      </c>
      <c r="BX106" s="359">
        <f t="shared" si="116"/>
        <v>1.7968749999999999E-2</v>
      </c>
      <c r="BY106" s="358">
        <f t="shared" si="91"/>
        <v>2.1562499999999998E-2</v>
      </c>
      <c r="BZ106" s="357">
        <f t="shared" si="116"/>
        <v>0.14374999999999999</v>
      </c>
      <c r="CA106" s="358">
        <f t="shared" si="92"/>
        <v>0.17249999999999999</v>
      </c>
      <c r="CB106" s="359">
        <f t="shared" si="116"/>
        <v>1.6197183098591549E-2</v>
      </c>
      <c r="CC106" s="358">
        <f t="shared" si="93"/>
        <v>1.9436619718309858E-2</v>
      </c>
      <c r="CD106" s="359">
        <f t="shared" si="116"/>
        <v>6.7647058823529409E-3</v>
      </c>
      <c r="CE106" s="358">
        <f t="shared" si="94"/>
        <v>8.1176470588235298E-3</v>
      </c>
      <c r="CF106" s="359">
        <f t="shared" si="116"/>
        <v>0.115</v>
      </c>
      <c r="CG106" s="358">
        <f t="shared" si="95"/>
        <v>0.13800000000000001</v>
      </c>
      <c r="CH106" s="357">
        <f t="shared" si="116"/>
        <v>0.11855670103092783</v>
      </c>
      <c r="CI106" s="358">
        <f t="shared" si="96"/>
        <v>0.1422680412371134</v>
      </c>
      <c r="CJ106" s="359">
        <f t="shared" si="116"/>
        <v>0.13690476190476192</v>
      </c>
      <c r="CK106" s="358">
        <f t="shared" si="97"/>
        <v>0.16428571428571428</v>
      </c>
      <c r="CL106" s="359">
        <f t="shared" si="116"/>
        <v>5.7500000000000002E-2</v>
      </c>
      <c r="CM106" s="358">
        <f t="shared" si="98"/>
        <v>6.9000000000000006E-2</v>
      </c>
      <c r="CN106" s="357">
        <f t="shared" si="116"/>
        <v>1.0952380952380953E-2</v>
      </c>
      <c r="CO106" s="358">
        <f t="shared" si="99"/>
        <v>1.3142857142857144E-2</v>
      </c>
      <c r="CP106" s="359">
        <f t="shared" si="116"/>
        <v>1.4375</v>
      </c>
      <c r="CQ106" s="358">
        <f t="shared" si="100"/>
        <v>1.7250000000000001</v>
      </c>
      <c r="CR106" s="359">
        <f t="shared" si="116"/>
        <v>1.15E-3</v>
      </c>
      <c r="CS106" s="366">
        <f t="shared" si="101"/>
        <v>1.3799999999999999E-3</v>
      </c>
    </row>
    <row r="107" spans="1:97" s="25" customFormat="1">
      <c r="A107" s="29" t="s">
        <v>221</v>
      </c>
      <c r="B107" s="326">
        <v>20</v>
      </c>
      <c r="C107" s="326">
        <v>70</v>
      </c>
      <c r="D107" s="351">
        <f t="shared" si="55"/>
        <v>46</v>
      </c>
      <c r="E107" s="352">
        <f t="shared" si="102"/>
        <v>103.5</v>
      </c>
      <c r="F107" s="353">
        <f t="shared" si="56"/>
        <v>161</v>
      </c>
      <c r="G107" s="29"/>
      <c r="H107" s="360">
        <f t="shared" si="103"/>
        <v>3.0666666666666669</v>
      </c>
      <c r="I107" s="361">
        <f t="shared" si="104"/>
        <v>10.733333333333333</v>
      </c>
      <c r="J107" s="362">
        <f t="shared" si="103"/>
        <v>3.0666666666666669</v>
      </c>
      <c r="K107" s="361">
        <f t="shared" si="104"/>
        <v>10.733333333333333</v>
      </c>
      <c r="L107" s="362">
        <f t="shared" si="57"/>
        <v>0.92</v>
      </c>
      <c r="M107" s="361">
        <f t="shared" si="58"/>
        <v>3.22</v>
      </c>
      <c r="N107" s="362">
        <f t="shared" si="105"/>
        <v>4.5999999999999996</v>
      </c>
      <c r="O107" s="361">
        <f t="shared" si="60"/>
        <v>16.100000000000001</v>
      </c>
      <c r="P107" s="362">
        <f t="shared" si="106"/>
        <v>0.38333333333333336</v>
      </c>
      <c r="Q107" s="361">
        <f t="shared" si="61"/>
        <v>1.3416666666666666</v>
      </c>
      <c r="R107" s="362">
        <f t="shared" ref="R107:CR107" si="117">R82/R$91</f>
        <v>0.35384615384615387</v>
      </c>
      <c r="S107" s="361">
        <f t="shared" si="62"/>
        <v>1.2384615384615385</v>
      </c>
      <c r="T107" s="362">
        <f t="shared" si="117"/>
        <v>0.92</v>
      </c>
      <c r="U107" s="361">
        <f t="shared" si="63"/>
        <v>3.22</v>
      </c>
      <c r="V107" s="362">
        <f t="shared" si="117"/>
        <v>0.30666666666666664</v>
      </c>
      <c r="W107" s="361">
        <f t="shared" si="64"/>
        <v>1.0733333333333333</v>
      </c>
      <c r="X107" s="362">
        <f t="shared" si="117"/>
        <v>0.41818181818181815</v>
      </c>
      <c r="Y107" s="361">
        <f t="shared" si="65"/>
        <v>1.4636363636363636</v>
      </c>
      <c r="Z107" s="362">
        <f t="shared" si="117"/>
        <v>5.1111111111111114E-2</v>
      </c>
      <c r="AA107" s="361">
        <f t="shared" si="66"/>
        <v>0.17888888888888888</v>
      </c>
      <c r="AB107" s="362">
        <f t="shared" si="117"/>
        <v>4.5999999999999999E-3</v>
      </c>
      <c r="AC107" s="361">
        <f t="shared" si="67"/>
        <v>1.61E-2</v>
      </c>
      <c r="AD107" s="362">
        <f t="shared" si="117"/>
        <v>6.7153284671532851E-2</v>
      </c>
      <c r="AE107" s="361">
        <f t="shared" si="68"/>
        <v>0.23503649635036497</v>
      </c>
      <c r="AF107" s="362">
        <f t="shared" si="117"/>
        <v>3.2857142857142856E-2</v>
      </c>
      <c r="AG107" s="361">
        <f t="shared" si="69"/>
        <v>0.115</v>
      </c>
      <c r="AH107" s="362">
        <f t="shared" si="117"/>
        <v>0.38333333333333336</v>
      </c>
      <c r="AI107" s="361">
        <f t="shared" si="70"/>
        <v>1.3416666666666666</v>
      </c>
      <c r="AJ107" s="362">
        <f t="shared" si="117"/>
        <v>4.8167539267015703E-2</v>
      </c>
      <c r="AK107" s="361">
        <f t="shared" si="71"/>
        <v>0.16858638743455498</v>
      </c>
      <c r="AL107" s="362">
        <f t="shared" si="117"/>
        <v>4.3809523809523812E-2</v>
      </c>
      <c r="AM107" s="361">
        <f t="shared" si="72"/>
        <v>0.15333333333333332</v>
      </c>
      <c r="AN107" s="362">
        <f t="shared" si="117"/>
        <v>2.5555555555555557E-2</v>
      </c>
      <c r="AO107" s="361">
        <f t="shared" si="73"/>
        <v>8.9444444444444438E-2</v>
      </c>
      <c r="AP107" s="362">
        <f t="shared" si="117"/>
        <v>3.5249042145593872E-2</v>
      </c>
      <c r="AQ107" s="361">
        <f t="shared" si="74"/>
        <v>0.12337164750957855</v>
      </c>
      <c r="AR107" s="362">
        <f t="shared" si="117"/>
        <v>4.3809523809523812E-2</v>
      </c>
      <c r="AS107" s="361">
        <f t="shared" si="75"/>
        <v>0.15333333333333332</v>
      </c>
      <c r="AT107" s="362">
        <f t="shared" si="117"/>
        <v>4.8421052631578948E-2</v>
      </c>
      <c r="AU107" s="361">
        <f t="shared" si="76"/>
        <v>0.1694736842105263</v>
      </c>
      <c r="AV107" s="362">
        <f t="shared" si="117"/>
        <v>3.833333333333333E-2</v>
      </c>
      <c r="AW107" s="361">
        <f t="shared" si="77"/>
        <v>0.13416666666666666</v>
      </c>
      <c r="AX107" s="362">
        <f t="shared" si="117"/>
        <v>3.833333333333333E-2</v>
      </c>
      <c r="AY107" s="361">
        <f t="shared" si="78"/>
        <v>0.13416666666666666</v>
      </c>
      <c r="AZ107" s="362">
        <f t="shared" si="117"/>
        <v>3.833333333333333E-2</v>
      </c>
      <c r="BA107" s="361">
        <f t="shared" si="79"/>
        <v>0.13416666666666666</v>
      </c>
      <c r="BB107" s="362">
        <f t="shared" si="117"/>
        <v>3.833333333333333E-2</v>
      </c>
      <c r="BC107" s="361">
        <f t="shared" si="80"/>
        <v>0.13416666666666666</v>
      </c>
      <c r="BD107" s="362">
        <f t="shared" si="117"/>
        <v>6.133333333333333E-2</v>
      </c>
      <c r="BE107" s="361">
        <f t="shared" si="81"/>
        <v>0.21466666666666667</v>
      </c>
      <c r="BF107" s="362">
        <f t="shared" si="117"/>
        <v>5.8974358974358973E-2</v>
      </c>
      <c r="BG107" s="361">
        <f t="shared" si="82"/>
        <v>0.2064102564102564</v>
      </c>
      <c r="BH107" s="362">
        <f t="shared" si="117"/>
        <v>9.1999999999999998E-3</v>
      </c>
      <c r="BI107" s="361">
        <f t="shared" si="83"/>
        <v>3.2199999999999999E-2</v>
      </c>
      <c r="BJ107" s="362">
        <f t="shared" si="117"/>
        <v>1.4375000000000001E-2</v>
      </c>
      <c r="BK107" s="361">
        <f t="shared" si="84"/>
        <v>5.0312500000000003E-2</v>
      </c>
      <c r="BL107" s="362">
        <f t="shared" si="117"/>
        <v>1.5081967213114755E-2</v>
      </c>
      <c r="BM107" s="361">
        <f t="shared" si="85"/>
        <v>5.2786885245901638E-2</v>
      </c>
      <c r="BN107" s="362">
        <f t="shared" si="117"/>
        <v>1.4375000000000001E-2</v>
      </c>
      <c r="BO107" s="361">
        <f t="shared" si="86"/>
        <v>5.0312500000000003E-2</v>
      </c>
      <c r="BP107" s="362">
        <f t="shared" si="117"/>
        <v>1.7692307692307691E-2</v>
      </c>
      <c r="BQ107" s="361">
        <f t="shared" si="87"/>
        <v>6.1923076923076921E-2</v>
      </c>
      <c r="BR107" s="362">
        <f t="shared" si="117"/>
        <v>0.01</v>
      </c>
      <c r="BS107" s="361">
        <f t="shared" si="88"/>
        <v>3.5000000000000003E-2</v>
      </c>
      <c r="BT107" s="360">
        <f t="shared" si="117"/>
        <v>1.6428571428571428E-2</v>
      </c>
      <c r="BU107" s="361">
        <f t="shared" si="89"/>
        <v>5.7500000000000002E-2</v>
      </c>
      <c r="BV107" s="362">
        <f t="shared" si="117"/>
        <v>6.8656716417910451E-3</v>
      </c>
      <c r="BW107" s="361">
        <f t="shared" si="90"/>
        <v>2.4029850746268656E-2</v>
      </c>
      <c r="BX107" s="362">
        <f t="shared" si="117"/>
        <v>7.1875000000000003E-3</v>
      </c>
      <c r="BY107" s="361">
        <f t="shared" si="91"/>
        <v>2.5156250000000002E-2</v>
      </c>
      <c r="BZ107" s="360">
        <f t="shared" si="117"/>
        <v>5.7500000000000002E-2</v>
      </c>
      <c r="CA107" s="361">
        <f t="shared" si="92"/>
        <v>0.20125000000000001</v>
      </c>
      <c r="CB107" s="362">
        <f t="shared" si="117"/>
        <v>6.4788732394366194E-3</v>
      </c>
      <c r="CC107" s="361">
        <f t="shared" si="93"/>
        <v>2.2676056338028168E-2</v>
      </c>
      <c r="CD107" s="362">
        <f t="shared" si="117"/>
        <v>2.7058823529411765E-3</v>
      </c>
      <c r="CE107" s="361">
        <f t="shared" si="94"/>
        <v>9.4705882352941178E-3</v>
      </c>
      <c r="CF107" s="362">
        <f t="shared" si="117"/>
        <v>4.5999999999999999E-2</v>
      </c>
      <c r="CG107" s="361">
        <f t="shared" si="95"/>
        <v>0.161</v>
      </c>
      <c r="CH107" s="360">
        <f t="shared" si="117"/>
        <v>4.7422680412371132E-2</v>
      </c>
      <c r="CI107" s="361">
        <f t="shared" si="96"/>
        <v>0.16597938144329896</v>
      </c>
      <c r="CJ107" s="362">
        <f t="shared" si="117"/>
        <v>5.4761904761904762E-2</v>
      </c>
      <c r="CK107" s="361">
        <f t="shared" si="97"/>
        <v>0.19166666666666668</v>
      </c>
      <c r="CL107" s="362">
        <f t="shared" si="117"/>
        <v>2.3E-2</v>
      </c>
      <c r="CM107" s="361">
        <f t="shared" si="98"/>
        <v>8.0500000000000002E-2</v>
      </c>
      <c r="CN107" s="360">
        <f t="shared" si="117"/>
        <v>4.3809523809523812E-3</v>
      </c>
      <c r="CO107" s="361">
        <f t="shared" si="99"/>
        <v>1.5333333333333332E-2</v>
      </c>
      <c r="CP107" s="362">
        <f t="shared" si="117"/>
        <v>0.57499999999999996</v>
      </c>
      <c r="CQ107" s="361">
        <f t="shared" si="100"/>
        <v>2.0125000000000002</v>
      </c>
      <c r="CR107" s="362">
        <f t="shared" si="117"/>
        <v>4.6000000000000001E-4</v>
      </c>
      <c r="CS107" s="367">
        <f t="shared" si="101"/>
        <v>1.6100000000000001E-3</v>
      </c>
    </row>
    <row r="108" spans="1:97" s="25" customFormat="1">
      <c r="A108" s="107" t="s">
        <v>251</v>
      </c>
      <c r="B108" s="239">
        <v>160</v>
      </c>
      <c r="C108" s="239">
        <v>240</v>
      </c>
      <c r="D108" s="344">
        <f t="shared" si="55"/>
        <v>368</v>
      </c>
      <c r="E108" s="345">
        <f t="shared" si="102"/>
        <v>460</v>
      </c>
      <c r="F108" s="347">
        <f t="shared" si="56"/>
        <v>552</v>
      </c>
      <c r="H108" s="357">
        <f t="shared" si="103"/>
        <v>24.533333333333335</v>
      </c>
      <c r="I108" s="358">
        <f t="shared" si="104"/>
        <v>36.799999999999997</v>
      </c>
      <c r="J108" s="359">
        <f t="shared" si="103"/>
        <v>24.533333333333335</v>
      </c>
      <c r="K108" s="358">
        <f t="shared" si="104"/>
        <v>36.799999999999997</v>
      </c>
      <c r="L108" s="359">
        <f t="shared" si="57"/>
        <v>7.36</v>
      </c>
      <c r="M108" s="358">
        <f t="shared" si="58"/>
        <v>11.04</v>
      </c>
      <c r="N108" s="359">
        <f t="shared" si="105"/>
        <v>36.799999999999997</v>
      </c>
      <c r="O108" s="358">
        <f t="shared" si="60"/>
        <v>55.2</v>
      </c>
      <c r="P108" s="359">
        <f t="shared" si="106"/>
        <v>3.0666666666666669</v>
      </c>
      <c r="Q108" s="358">
        <f t="shared" si="61"/>
        <v>4.5999999999999996</v>
      </c>
      <c r="R108" s="359">
        <f t="shared" ref="R108:CR108" si="118">R83/R$91</f>
        <v>2.8307692307692309</v>
      </c>
      <c r="S108" s="358">
        <f t="shared" si="62"/>
        <v>4.2461538461538462</v>
      </c>
      <c r="T108" s="359">
        <f t="shared" si="118"/>
        <v>7.36</v>
      </c>
      <c r="U108" s="358">
        <f t="shared" si="63"/>
        <v>11.04</v>
      </c>
      <c r="V108" s="359">
        <f t="shared" si="118"/>
        <v>2.4533333333333331</v>
      </c>
      <c r="W108" s="358">
        <f t="shared" si="64"/>
        <v>3.68</v>
      </c>
      <c r="X108" s="359">
        <f t="shared" si="118"/>
        <v>3.3454545454545452</v>
      </c>
      <c r="Y108" s="358">
        <f t="shared" si="65"/>
        <v>5.0181818181818185</v>
      </c>
      <c r="Z108" s="359">
        <f t="shared" si="118"/>
        <v>0.40888888888888891</v>
      </c>
      <c r="AA108" s="358">
        <f t="shared" si="66"/>
        <v>0.61333333333333329</v>
      </c>
      <c r="AB108" s="359">
        <f t="shared" si="118"/>
        <v>9.1999999999999998E-3</v>
      </c>
      <c r="AC108" s="358">
        <f t="shared" si="67"/>
        <v>1.38E-2</v>
      </c>
      <c r="AD108" s="359">
        <f t="shared" si="118"/>
        <v>0.53722627737226281</v>
      </c>
      <c r="AE108" s="358">
        <f t="shared" si="68"/>
        <v>0.80583941605839415</v>
      </c>
      <c r="AF108" s="359">
        <f t="shared" si="118"/>
        <v>0.26285714285714284</v>
      </c>
      <c r="AG108" s="358">
        <f t="shared" si="69"/>
        <v>0.39428571428571429</v>
      </c>
      <c r="AH108" s="359">
        <f t="shared" si="118"/>
        <v>0.76666666666666672</v>
      </c>
      <c r="AI108" s="358">
        <f t="shared" si="70"/>
        <v>1.1499999999999999</v>
      </c>
      <c r="AJ108" s="359">
        <f t="shared" si="118"/>
        <v>0.38534031413612563</v>
      </c>
      <c r="AK108" s="358">
        <f t="shared" si="71"/>
        <v>0.57801047120418847</v>
      </c>
      <c r="AL108" s="359">
        <f t="shared" si="118"/>
        <v>0.3504761904761905</v>
      </c>
      <c r="AM108" s="358">
        <f t="shared" si="72"/>
        <v>0.52571428571428569</v>
      </c>
      <c r="AN108" s="359">
        <f t="shared" si="118"/>
        <v>5.1111111111111114E-2</v>
      </c>
      <c r="AO108" s="358">
        <f t="shared" si="73"/>
        <v>7.6666666666666661E-2</v>
      </c>
      <c r="AP108" s="359">
        <f t="shared" si="118"/>
        <v>0.84597701149425286</v>
      </c>
      <c r="AQ108" s="358">
        <f t="shared" si="74"/>
        <v>1.2689655172413794</v>
      </c>
      <c r="AR108" s="359">
        <f t="shared" si="118"/>
        <v>8.7619047619047624E-2</v>
      </c>
      <c r="AS108" s="358">
        <f t="shared" si="75"/>
        <v>0.13142857142857142</v>
      </c>
      <c r="AT108" s="359">
        <f t="shared" si="118"/>
        <v>0.38736842105263158</v>
      </c>
      <c r="AU108" s="358">
        <f t="shared" si="76"/>
        <v>0.58105263157894738</v>
      </c>
      <c r="AV108" s="359">
        <f t="shared" si="118"/>
        <v>0.30666666666666664</v>
      </c>
      <c r="AW108" s="358">
        <f t="shared" si="77"/>
        <v>0.46</v>
      </c>
      <c r="AX108" s="359">
        <f t="shared" si="118"/>
        <v>7.6666666666666661E-2</v>
      </c>
      <c r="AY108" s="358">
        <f t="shared" si="78"/>
        <v>0.115</v>
      </c>
      <c r="AZ108" s="359">
        <f t="shared" si="118"/>
        <v>7.6666666666666661E-2</v>
      </c>
      <c r="BA108" s="358">
        <f t="shared" si="79"/>
        <v>0.115</v>
      </c>
      <c r="BB108" s="359">
        <f t="shared" si="118"/>
        <v>0.92</v>
      </c>
      <c r="BC108" s="358">
        <f t="shared" si="80"/>
        <v>1.38</v>
      </c>
      <c r="BD108" s="359">
        <f t="shared" si="118"/>
        <v>0.49066666666666664</v>
      </c>
      <c r="BE108" s="358">
        <f t="shared" si="81"/>
        <v>0.73599999999999999</v>
      </c>
      <c r="BF108" s="359">
        <f t="shared" si="118"/>
        <v>0.11794871794871795</v>
      </c>
      <c r="BG108" s="358">
        <f t="shared" si="82"/>
        <v>0.17692307692307693</v>
      </c>
      <c r="BH108" s="359">
        <f t="shared" si="118"/>
        <v>1.84E-2</v>
      </c>
      <c r="BI108" s="358">
        <f t="shared" si="83"/>
        <v>2.76E-2</v>
      </c>
      <c r="BJ108" s="359">
        <f t="shared" si="118"/>
        <v>2.8750000000000001E-2</v>
      </c>
      <c r="BK108" s="358">
        <f t="shared" si="84"/>
        <v>4.3124999999999997E-2</v>
      </c>
      <c r="BL108" s="359">
        <f t="shared" si="118"/>
        <v>0.12065573770491804</v>
      </c>
      <c r="BM108" s="358">
        <f t="shared" si="85"/>
        <v>0.18098360655737705</v>
      </c>
      <c r="BN108" s="359">
        <f t="shared" si="118"/>
        <v>0.34499999999999997</v>
      </c>
      <c r="BO108" s="358">
        <f t="shared" si="86"/>
        <v>0.51749999999999996</v>
      </c>
      <c r="BP108" s="359">
        <f t="shared" si="118"/>
        <v>0.14153846153846153</v>
      </c>
      <c r="BQ108" s="358">
        <f t="shared" si="87"/>
        <v>0.21230769230769231</v>
      </c>
      <c r="BR108" s="359">
        <f t="shared" si="118"/>
        <v>0.08</v>
      </c>
      <c r="BS108" s="358">
        <f t="shared" si="88"/>
        <v>0.12</v>
      </c>
      <c r="BT108" s="357">
        <f t="shared" si="118"/>
        <v>0.13142857142857142</v>
      </c>
      <c r="BU108" s="358">
        <f t="shared" si="89"/>
        <v>0.19714285714285715</v>
      </c>
      <c r="BV108" s="359">
        <f t="shared" si="118"/>
        <v>5.492537313432836E-2</v>
      </c>
      <c r="BW108" s="358">
        <f t="shared" si="90"/>
        <v>8.2388059701492544E-2</v>
      </c>
      <c r="BX108" s="359">
        <f t="shared" si="118"/>
        <v>4.3124999999999997E-2</v>
      </c>
      <c r="BY108" s="358">
        <f t="shared" si="91"/>
        <v>6.4687499999999995E-2</v>
      </c>
      <c r="BZ108" s="357">
        <f t="shared" si="118"/>
        <v>0.46</v>
      </c>
      <c r="CA108" s="358">
        <f t="shared" si="92"/>
        <v>0.69</v>
      </c>
      <c r="CB108" s="359">
        <f t="shared" si="118"/>
        <v>0.15549295774647887</v>
      </c>
      <c r="CC108" s="358">
        <f t="shared" si="93"/>
        <v>0.2332394366197183</v>
      </c>
      <c r="CD108" s="359">
        <f t="shared" si="118"/>
        <v>5.4117647058823529E-3</v>
      </c>
      <c r="CE108" s="358">
        <f t="shared" si="94"/>
        <v>8.1176470588235298E-3</v>
      </c>
      <c r="CF108" s="359">
        <f t="shared" si="118"/>
        <v>0.36799999999999999</v>
      </c>
      <c r="CG108" s="358">
        <f t="shared" si="95"/>
        <v>0.55200000000000005</v>
      </c>
      <c r="CH108" s="357">
        <f t="shared" si="118"/>
        <v>0.37938144329896906</v>
      </c>
      <c r="CI108" s="358">
        <f t="shared" si="96"/>
        <v>0.56907216494845358</v>
      </c>
      <c r="CJ108" s="359">
        <f t="shared" si="118"/>
        <v>1.3142857142857143</v>
      </c>
      <c r="CK108" s="358">
        <f t="shared" si="97"/>
        <v>1.9714285714285715</v>
      </c>
      <c r="CL108" s="359">
        <f t="shared" si="118"/>
        <v>4.5999999999999999E-2</v>
      </c>
      <c r="CM108" s="358">
        <f t="shared" si="98"/>
        <v>6.9000000000000006E-2</v>
      </c>
      <c r="CN108" s="357">
        <f t="shared" si="118"/>
        <v>3.504761904761905E-2</v>
      </c>
      <c r="CO108" s="358">
        <f t="shared" si="99"/>
        <v>5.2571428571428575E-2</v>
      </c>
      <c r="CP108" s="359">
        <f t="shared" si="118"/>
        <v>4.5999999999999996</v>
      </c>
      <c r="CQ108" s="358">
        <f t="shared" si="100"/>
        <v>6.9</v>
      </c>
      <c r="CR108" s="359">
        <f t="shared" si="118"/>
        <v>3.6800000000000001E-3</v>
      </c>
      <c r="CS108" s="366">
        <f t="shared" si="101"/>
        <v>5.5199999999999997E-3</v>
      </c>
    </row>
    <row r="109" spans="1:97" s="25" customFormat="1">
      <c r="A109" s="339" t="s">
        <v>255</v>
      </c>
      <c r="B109" s="239">
        <v>140</v>
      </c>
      <c r="C109" s="239">
        <v>200</v>
      </c>
      <c r="D109" s="344">
        <f t="shared" si="55"/>
        <v>322</v>
      </c>
      <c r="E109" s="345">
        <f t="shared" si="102"/>
        <v>391</v>
      </c>
      <c r="F109" s="347">
        <f t="shared" si="56"/>
        <v>459.99999999999994</v>
      </c>
      <c r="H109" s="357">
        <f t="shared" si="103"/>
        <v>21.466666666666665</v>
      </c>
      <c r="I109" s="358">
        <f t="shared" si="104"/>
        <v>30.666666666666664</v>
      </c>
      <c r="J109" s="359">
        <f t="shared" si="103"/>
        <v>21.466666666666665</v>
      </c>
      <c r="K109" s="358">
        <f t="shared" si="104"/>
        <v>30.666666666666664</v>
      </c>
      <c r="L109" s="359">
        <f t="shared" si="57"/>
        <v>6.44</v>
      </c>
      <c r="M109" s="358">
        <f t="shared" si="58"/>
        <v>9.1999999999999993</v>
      </c>
      <c r="N109" s="359">
        <f t="shared" si="105"/>
        <v>32.200000000000003</v>
      </c>
      <c r="O109" s="358">
        <f t="shared" si="60"/>
        <v>45.999999999999993</v>
      </c>
      <c r="P109" s="359">
        <f t="shared" si="106"/>
        <v>2.6833333333333331</v>
      </c>
      <c r="Q109" s="358">
        <f t="shared" si="61"/>
        <v>3.833333333333333</v>
      </c>
      <c r="R109" s="359">
        <f t="shared" ref="R109:CR109" si="119">R84/R$91</f>
        <v>2.476923076923077</v>
      </c>
      <c r="S109" s="358">
        <f t="shared" si="62"/>
        <v>3.5384615384615379</v>
      </c>
      <c r="T109" s="359">
        <f t="shared" si="119"/>
        <v>6.44</v>
      </c>
      <c r="U109" s="358">
        <f t="shared" si="63"/>
        <v>9.1999999999999993</v>
      </c>
      <c r="V109" s="359">
        <f t="shared" si="119"/>
        <v>2.1466666666666665</v>
      </c>
      <c r="W109" s="358">
        <f t="shared" si="64"/>
        <v>3.0666666666666664</v>
      </c>
      <c r="X109" s="359">
        <f t="shared" si="119"/>
        <v>2.9272727272727272</v>
      </c>
      <c r="Y109" s="358">
        <f t="shared" si="65"/>
        <v>4.1818181818181817</v>
      </c>
      <c r="Z109" s="359">
        <f t="shared" si="119"/>
        <v>0.35777777777777775</v>
      </c>
      <c r="AA109" s="358">
        <f t="shared" si="66"/>
        <v>0.51111111111111107</v>
      </c>
      <c r="AB109" s="359">
        <f t="shared" si="119"/>
        <v>8.0499999999999999E-3</v>
      </c>
      <c r="AC109" s="358">
        <f t="shared" si="67"/>
        <v>1.1499999999999998E-2</v>
      </c>
      <c r="AD109" s="359">
        <f t="shared" si="119"/>
        <v>1.4102189781021899</v>
      </c>
      <c r="AE109" s="358">
        <f t="shared" si="68"/>
        <v>2.0145985401459852</v>
      </c>
      <c r="AF109" s="359">
        <f t="shared" si="119"/>
        <v>0.23</v>
      </c>
      <c r="AG109" s="358">
        <f t="shared" si="69"/>
        <v>0.32857142857142851</v>
      </c>
      <c r="AH109" s="359">
        <f t="shared" si="119"/>
        <v>2.6833333333333331</v>
      </c>
      <c r="AI109" s="358">
        <f t="shared" si="70"/>
        <v>3.833333333333333</v>
      </c>
      <c r="AJ109" s="359">
        <f t="shared" si="119"/>
        <v>0.33717277486910996</v>
      </c>
      <c r="AK109" s="358">
        <f t="shared" si="71"/>
        <v>0.48167539267015702</v>
      </c>
      <c r="AL109" s="359">
        <f t="shared" si="119"/>
        <v>0.30666666666666664</v>
      </c>
      <c r="AM109" s="358">
        <f t="shared" si="72"/>
        <v>0.43809523809523804</v>
      </c>
      <c r="AN109" s="359">
        <f t="shared" si="119"/>
        <v>0.13416666666666666</v>
      </c>
      <c r="AO109" s="358">
        <f t="shared" si="73"/>
        <v>0.19166666666666662</v>
      </c>
      <c r="AP109" s="359">
        <f t="shared" si="119"/>
        <v>6.1685823754789273E-2</v>
      </c>
      <c r="AQ109" s="358">
        <f t="shared" si="74"/>
        <v>8.8122605363984668E-2</v>
      </c>
      <c r="AR109" s="359">
        <f t="shared" si="119"/>
        <v>7.6666666666666661E-2</v>
      </c>
      <c r="AS109" s="358">
        <f t="shared" si="75"/>
        <v>0.10952380952380951</v>
      </c>
      <c r="AT109" s="359">
        <f t="shared" si="119"/>
        <v>0.33894736842105261</v>
      </c>
      <c r="AU109" s="358">
        <f t="shared" si="76"/>
        <v>0.48421052631578942</v>
      </c>
      <c r="AV109" s="359">
        <f t="shared" si="119"/>
        <v>0.80500000000000005</v>
      </c>
      <c r="AW109" s="358">
        <f t="shared" si="77"/>
        <v>1.1499999999999999</v>
      </c>
      <c r="AX109" s="359">
        <f t="shared" si="119"/>
        <v>0.26833333333333331</v>
      </c>
      <c r="AY109" s="358">
        <f t="shared" si="78"/>
        <v>0.3833333333333333</v>
      </c>
      <c r="AZ109" s="359">
        <f t="shared" si="119"/>
        <v>6.7083333333333328E-2</v>
      </c>
      <c r="BA109" s="358">
        <f t="shared" si="79"/>
        <v>9.5833333333333326E-2</v>
      </c>
      <c r="BB109" s="359">
        <f t="shared" si="119"/>
        <v>6.7083333333333328E-2</v>
      </c>
      <c r="BC109" s="358">
        <f t="shared" si="80"/>
        <v>9.5833333333333326E-2</v>
      </c>
      <c r="BD109" s="359">
        <f t="shared" si="119"/>
        <v>0.42933333333333334</v>
      </c>
      <c r="BE109" s="358">
        <f t="shared" si="81"/>
        <v>0.61333333333333329</v>
      </c>
      <c r="BF109" s="359">
        <f t="shared" si="119"/>
        <v>0.1032051282051282</v>
      </c>
      <c r="BG109" s="358">
        <f t="shared" si="82"/>
        <v>0.14743589743589741</v>
      </c>
      <c r="BH109" s="359">
        <f t="shared" si="119"/>
        <v>6.4399999999999999E-2</v>
      </c>
      <c r="BI109" s="358">
        <f t="shared" si="83"/>
        <v>9.1999999999999985E-2</v>
      </c>
      <c r="BJ109" s="359">
        <f t="shared" si="119"/>
        <v>2.5156250000000002E-2</v>
      </c>
      <c r="BK109" s="358">
        <f t="shared" si="84"/>
        <v>3.5937499999999997E-2</v>
      </c>
      <c r="BL109" s="359">
        <f t="shared" si="119"/>
        <v>0.10557377049180328</v>
      </c>
      <c r="BM109" s="358">
        <f t="shared" si="85"/>
        <v>0.15081967213114753</v>
      </c>
      <c r="BN109" s="359">
        <f t="shared" si="119"/>
        <v>2.5156250000000002E-2</v>
      </c>
      <c r="BO109" s="358">
        <f t="shared" si="86"/>
        <v>3.5937499999999997E-2</v>
      </c>
      <c r="BP109" s="359">
        <f t="shared" si="119"/>
        <v>0.12384615384615384</v>
      </c>
      <c r="BQ109" s="358">
        <f t="shared" si="87"/>
        <v>0.17692307692307691</v>
      </c>
      <c r="BR109" s="359">
        <f t="shared" si="119"/>
        <v>7.0000000000000007E-2</v>
      </c>
      <c r="BS109" s="358">
        <f t="shared" si="88"/>
        <v>9.9999999999999992E-2</v>
      </c>
      <c r="BT109" s="357">
        <f t="shared" si="119"/>
        <v>0.115</v>
      </c>
      <c r="BU109" s="358">
        <f t="shared" si="89"/>
        <v>0.16428571428571426</v>
      </c>
      <c r="BV109" s="359">
        <f t="shared" si="119"/>
        <v>4.8059701492537313E-2</v>
      </c>
      <c r="BW109" s="358">
        <f t="shared" si="90"/>
        <v>6.8656716417910435E-2</v>
      </c>
      <c r="BX109" s="359">
        <f t="shared" si="119"/>
        <v>1.2578125000000001E-2</v>
      </c>
      <c r="BY109" s="358">
        <f t="shared" si="91"/>
        <v>1.7968749999999999E-2</v>
      </c>
      <c r="BZ109" s="357">
        <f t="shared" si="119"/>
        <v>1.2075</v>
      </c>
      <c r="CA109" s="358">
        <f t="shared" si="92"/>
        <v>1.7249999999999996</v>
      </c>
      <c r="CB109" s="359">
        <f t="shared" si="119"/>
        <v>1.1338028169014084E-2</v>
      </c>
      <c r="CC109" s="358">
        <f t="shared" si="93"/>
        <v>1.6197183098591549E-2</v>
      </c>
      <c r="CD109" s="359">
        <f t="shared" si="119"/>
        <v>4.7352941176470589E-3</v>
      </c>
      <c r="CE109" s="358">
        <f t="shared" si="94"/>
        <v>6.76470588235294E-3</v>
      </c>
      <c r="CF109" s="359">
        <f t="shared" si="119"/>
        <v>0.32200000000000001</v>
      </c>
      <c r="CG109" s="358">
        <f t="shared" si="95"/>
        <v>0.45999999999999996</v>
      </c>
      <c r="CH109" s="357">
        <f t="shared" si="119"/>
        <v>0.99587628865979383</v>
      </c>
      <c r="CI109" s="358">
        <f t="shared" si="96"/>
        <v>1.4226804123711339</v>
      </c>
      <c r="CJ109" s="359">
        <f t="shared" si="119"/>
        <v>9.583333333333334E-2</v>
      </c>
      <c r="CK109" s="358">
        <f t="shared" si="97"/>
        <v>0.13690476190476189</v>
      </c>
      <c r="CL109" s="359">
        <f t="shared" si="119"/>
        <v>4.0250000000000001E-2</v>
      </c>
      <c r="CM109" s="358">
        <f t="shared" si="98"/>
        <v>5.7499999999999996E-2</v>
      </c>
      <c r="CN109" s="357">
        <f t="shared" si="119"/>
        <v>3.0666666666666665E-2</v>
      </c>
      <c r="CO109" s="358">
        <f t="shared" si="99"/>
        <v>4.3809523809523805E-2</v>
      </c>
      <c r="CP109" s="359">
        <f t="shared" si="119"/>
        <v>4.0250000000000004</v>
      </c>
      <c r="CQ109" s="358">
        <f t="shared" si="100"/>
        <v>5.7499999999999991</v>
      </c>
      <c r="CR109" s="359">
        <f t="shared" si="119"/>
        <v>3.2200000000000002E-3</v>
      </c>
      <c r="CS109" s="366">
        <f t="shared" si="101"/>
        <v>4.5999999999999991E-3</v>
      </c>
    </row>
    <row r="110" spans="1:97" s="25" customFormat="1">
      <c r="A110" s="340" t="s">
        <v>275</v>
      </c>
      <c r="B110" s="239">
        <v>150</v>
      </c>
      <c r="C110" s="239">
        <v>250</v>
      </c>
      <c r="D110" s="344">
        <f t="shared" si="55"/>
        <v>345</v>
      </c>
      <c r="E110" s="345">
        <f t="shared" si="102"/>
        <v>460</v>
      </c>
      <c r="F110" s="347">
        <f t="shared" si="56"/>
        <v>575</v>
      </c>
      <c r="H110" s="357">
        <f t="shared" si="103"/>
        <v>23</v>
      </c>
      <c r="I110" s="358">
        <f t="shared" si="104"/>
        <v>38.333333333333336</v>
      </c>
      <c r="J110" s="359">
        <f t="shared" si="103"/>
        <v>23</v>
      </c>
      <c r="K110" s="358">
        <f t="shared" si="104"/>
        <v>38.333333333333336</v>
      </c>
      <c r="L110" s="359">
        <f t="shared" si="57"/>
        <v>6.9</v>
      </c>
      <c r="M110" s="358">
        <f t="shared" si="58"/>
        <v>11.5</v>
      </c>
      <c r="N110" s="359">
        <f t="shared" si="105"/>
        <v>34.5</v>
      </c>
      <c r="O110" s="358">
        <f t="shared" si="60"/>
        <v>57.5</v>
      </c>
      <c r="P110" s="359">
        <f t="shared" si="106"/>
        <v>2.875</v>
      </c>
      <c r="Q110" s="358">
        <f t="shared" si="61"/>
        <v>4.791666666666667</v>
      </c>
      <c r="R110" s="359">
        <f t="shared" ref="R110:CR110" si="120">R85/R$91</f>
        <v>2.6538461538461537</v>
      </c>
      <c r="S110" s="358">
        <f t="shared" si="62"/>
        <v>4.4230769230769234</v>
      </c>
      <c r="T110" s="359">
        <f t="shared" si="120"/>
        <v>6.9</v>
      </c>
      <c r="U110" s="358">
        <f t="shared" si="63"/>
        <v>11.5</v>
      </c>
      <c r="V110" s="359">
        <f t="shared" si="120"/>
        <v>2.2999999999999998</v>
      </c>
      <c r="W110" s="358">
        <f t="shared" si="64"/>
        <v>3.8333333333333335</v>
      </c>
      <c r="X110" s="359">
        <f t="shared" si="120"/>
        <v>3.1363636363636362</v>
      </c>
      <c r="Y110" s="358">
        <f t="shared" si="65"/>
        <v>5.2272727272727275</v>
      </c>
      <c r="Z110" s="359">
        <f t="shared" si="120"/>
        <v>0.38333333333333336</v>
      </c>
      <c r="AA110" s="358">
        <f t="shared" si="66"/>
        <v>0.63888888888888884</v>
      </c>
      <c r="AB110" s="359">
        <f t="shared" si="120"/>
        <v>0.10349999999999999</v>
      </c>
      <c r="AC110" s="358">
        <f t="shared" si="67"/>
        <v>0.17249999999999999</v>
      </c>
      <c r="AD110" s="359">
        <f t="shared" si="120"/>
        <v>0.1259124087591241</v>
      </c>
      <c r="AE110" s="358">
        <f t="shared" si="68"/>
        <v>0.20985401459854014</v>
      </c>
      <c r="AF110" s="359">
        <f t="shared" si="120"/>
        <v>0.24642857142857144</v>
      </c>
      <c r="AG110" s="358">
        <f t="shared" si="69"/>
        <v>0.4107142857142857</v>
      </c>
      <c r="AH110" s="359">
        <f t="shared" si="120"/>
        <v>0.71875</v>
      </c>
      <c r="AI110" s="358">
        <f t="shared" si="70"/>
        <v>1.1979166666666667</v>
      </c>
      <c r="AJ110" s="359">
        <f t="shared" si="120"/>
        <v>0.36125654450261779</v>
      </c>
      <c r="AK110" s="358">
        <f t="shared" si="71"/>
        <v>0.60209424083769636</v>
      </c>
      <c r="AL110" s="359">
        <f t="shared" si="120"/>
        <v>0.32857142857142857</v>
      </c>
      <c r="AM110" s="358">
        <f t="shared" si="72"/>
        <v>0.54761904761904767</v>
      </c>
      <c r="AN110" s="359">
        <f t="shared" si="120"/>
        <v>0.14374999999999999</v>
      </c>
      <c r="AO110" s="358">
        <f t="shared" si="73"/>
        <v>0.23958333333333334</v>
      </c>
      <c r="AP110" s="359">
        <f t="shared" si="120"/>
        <v>0.26436781609195403</v>
      </c>
      <c r="AQ110" s="358">
        <f t="shared" si="74"/>
        <v>0.44061302681992337</v>
      </c>
      <c r="AR110" s="359">
        <f t="shared" si="120"/>
        <v>0.98571428571428577</v>
      </c>
      <c r="AS110" s="358">
        <f t="shared" si="75"/>
        <v>1.6428571428571428</v>
      </c>
      <c r="AT110" s="359">
        <f t="shared" si="120"/>
        <v>0.36315789473684212</v>
      </c>
      <c r="AU110" s="358">
        <f t="shared" si="76"/>
        <v>0.60526315789473684</v>
      </c>
      <c r="AV110" s="359">
        <f t="shared" si="120"/>
        <v>7.1874999999999994E-2</v>
      </c>
      <c r="AW110" s="358">
        <f t="shared" si="77"/>
        <v>0.11979166666666667</v>
      </c>
      <c r="AX110" s="359">
        <f t="shared" si="120"/>
        <v>7.1874999999999994E-2</v>
      </c>
      <c r="AY110" s="358">
        <f t="shared" si="78"/>
        <v>0.11979166666666667</v>
      </c>
      <c r="AZ110" s="359">
        <f t="shared" si="120"/>
        <v>0.86250000000000004</v>
      </c>
      <c r="BA110" s="358">
        <f t="shared" si="79"/>
        <v>1.4375</v>
      </c>
      <c r="BB110" s="359">
        <f t="shared" si="120"/>
        <v>0.28749999999999998</v>
      </c>
      <c r="BC110" s="358">
        <f t="shared" si="80"/>
        <v>0.47916666666666669</v>
      </c>
      <c r="BD110" s="359">
        <f t="shared" si="120"/>
        <v>0.46</v>
      </c>
      <c r="BE110" s="358">
        <f t="shared" si="81"/>
        <v>0.76666666666666672</v>
      </c>
      <c r="BF110" s="359">
        <f t="shared" si="120"/>
        <v>1.3269230769230769</v>
      </c>
      <c r="BG110" s="358">
        <f t="shared" si="82"/>
        <v>2.2115384615384617</v>
      </c>
      <c r="BH110" s="359">
        <f t="shared" si="120"/>
        <v>1.7250000000000001E-2</v>
      </c>
      <c r="BI110" s="358">
        <f t="shared" si="83"/>
        <v>2.8750000000000001E-2</v>
      </c>
      <c r="BJ110" s="359">
        <f t="shared" si="120"/>
        <v>0.32343749999999999</v>
      </c>
      <c r="BK110" s="358">
        <f t="shared" si="84"/>
        <v>0.5390625</v>
      </c>
      <c r="BL110" s="359">
        <f t="shared" si="120"/>
        <v>0.11311475409836065</v>
      </c>
      <c r="BM110" s="358">
        <f t="shared" si="85"/>
        <v>0.18852459016393441</v>
      </c>
      <c r="BN110" s="359">
        <f t="shared" si="120"/>
        <v>0.10781250000000001</v>
      </c>
      <c r="BO110" s="358">
        <f t="shared" si="86"/>
        <v>0.1796875</v>
      </c>
      <c r="BP110" s="359">
        <f t="shared" si="120"/>
        <v>0.13269230769230769</v>
      </c>
      <c r="BQ110" s="358">
        <f t="shared" si="87"/>
        <v>0.22115384615384615</v>
      </c>
      <c r="BR110" s="359">
        <f t="shared" si="120"/>
        <v>7.4999999999999997E-2</v>
      </c>
      <c r="BS110" s="358">
        <f t="shared" si="88"/>
        <v>0.125</v>
      </c>
      <c r="BT110" s="357">
        <f t="shared" si="120"/>
        <v>0.12321428571428572</v>
      </c>
      <c r="BU110" s="358">
        <f t="shared" si="89"/>
        <v>0.20535714285714285</v>
      </c>
      <c r="BV110" s="359">
        <f t="shared" si="120"/>
        <v>5.1492537313432833E-2</v>
      </c>
      <c r="BW110" s="358">
        <f t="shared" si="90"/>
        <v>8.5820895522388058E-2</v>
      </c>
      <c r="BX110" s="359">
        <f t="shared" si="120"/>
        <v>1.3476562500000001E-2</v>
      </c>
      <c r="BY110" s="358">
        <f t="shared" si="91"/>
        <v>2.24609375E-2</v>
      </c>
      <c r="BZ110" s="357">
        <f t="shared" si="120"/>
        <v>0.10781250000000001</v>
      </c>
      <c r="CA110" s="358">
        <f t="shared" si="92"/>
        <v>0.1796875</v>
      </c>
      <c r="CB110" s="359">
        <f t="shared" si="120"/>
        <v>4.8591549295774646E-2</v>
      </c>
      <c r="CC110" s="358">
        <f t="shared" si="93"/>
        <v>8.098591549295775E-2</v>
      </c>
      <c r="CD110" s="359">
        <f t="shared" si="120"/>
        <v>6.0882352941176471E-2</v>
      </c>
      <c r="CE110" s="358">
        <f t="shared" si="94"/>
        <v>0.10147058823529412</v>
      </c>
      <c r="CF110" s="359">
        <f t="shared" si="120"/>
        <v>0.34499999999999997</v>
      </c>
      <c r="CG110" s="358">
        <f t="shared" si="95"/>
        <v>0.57499999999999996</v>
      </c>
      <c r="CH110" s="357">
        <f t="shared" si="120"/>
        <v>8.891752577319588E-2</v>
      </c>
      <c r="CI110" s="358">
        <f t="shared" si="96"/>
        <v>0.14819587628865979</v>
      </c>
      <c r="CJ110" s="359">
        <f t="shared" si="120"/>
        <v>0.4107142857142857</v>
      </c>
      <c r="CK110" s="358">
        <f t="shared" si="97"/>
        <v>0.68452380952380953</v>
      </c>
      <c r="CL110" s="359">
        <f t="shared" si="120"/>
        <v>0.51749999999999996</v>
      </c>
      <c r="CM110" s="358">
        <f t="shared" si="98"/>
        <v>0.86250000000000004</v>
      </c>
      <c r="CN110" s="357">
        <f t="shared" si="120"/>
        <v>3.2857142857142856E-2</v>
      </c>
      <c r="CO110" s="358">
        <f t="shared" si="99"/>
        <v>5.4761904761904762E-2</v>
      </c>
      <c r="CP110" s="359">
        <f t="shared" si="120"/>
        <v>4.3125</v>
      </c>
      <c r="CQ110" s="358">
        <f t="shared" si="100"/>
        <v>7.1875</v>
      </c>
      <c r="CR110" s="359">
        <f t="shared" si="120"/>
        <v>3.4499999999999999E-3</v>
      </c>
      <c r="CS110" s="366">
        <f t="shared" si="101"/>
        <v>5.7499999999999999E-3</v>
      </c>
    </row>
    <row r="111" spans="1:97" s="25" customFormat="1">
      <c r="A111" s="109" t="s">
        <v>344</v>
      </c>
      <c r="B111" s="239">
        <v>200</v>
      </c>
      <c r="C111" s="239">
        <v>220</v>
      </c>
      <c r="D111" s="344">
        <f t="shared" si="55"/>
        <v>460</v>
      </c>
      <c r="E111" s="345">
        <f t="shared" si="102"/>
        <v>483</v>
      </c>
      <c r="F111" s="347">
        <f t="shared" si="56"/>
        <v>505.99999999999994</v>
      </c>
      <c r="H111" s="357">
        <f t="shared" si="103"/>
        <v>30.666666666666668</v>
      </c>
      <c r="I111" s="358">
        <f t="shared" si="104"/>
        <v>33.733333333333327</v>
      </c>
      <c r="J111" s="359">
        <f t="shared" si="103"/>
        <v>30.666666666666668</v>
      </c>
      <c r="K111" s="358">
        <f t="shared" si="104"/>
        <v>33.733333333333327</v>
      </c>
      <c r="L111" s="359">
        <f t="shared" si="57"/>
        <v>9.1999999999999993</v>
      </c>
      <c r="M111" s="358">
        <f t="shared" si="58"/>
        <v>10.119999999999999</v>
      </c>
      <c r="N111" s="359">
        <f t="shared" si="105"/>
        <v>46</v>
      </c>
      <c r="O111" s="358">
        <f t="shared" si="60"/>
        <v>50.599999999999994</v>
      </c>
      <c r="P111" s="359">
        <f t="shared" si="106"/>
        <v>3.8333333333333335</v>
      </c>
      <c r="Q111" s="358">
        <f t="shared" si="61"/>
        <v>4.2166666666666659</v>
      </c>
      <c r="R111" s="359">
        <f t="shared" ref="R111:CR111" si="121">R86/R$91</f>
        <v>3.5384615384615383</v>
      </c>
      <c r="S111" s="358">
        <f t="shared" si="62"/>
        <v>3.8923076923076918</v>
      </c>
      <c r="T111" s="359">
        <f t="shared" si="121"/>
        <v>9.1999999999999993</v>
      </c>
      <c r="U111" s="358">
        <f t="shared" si="63"/>
        <v>10.119999999999999</v>
      </c>
      <c r="V111" s="359">
        <f t="shared" si="121"/>
        <v>3.0666666666666669</v>
      </c>
      <c r="W111" s="358">
        <f t="shared" si="64"/>
        <v>3.3733333333333331</v>
      </c>
      <c r="X111" s="359">
        <f t="shared" si="121"/>
        <v>4.1818181818181817</v>
      </c>
      <c r="Y111" s="358">
        <f t="shared" si="65"/>
        <v>4.5999999999999996</v>
      </c>
      <c r="Z111" s="359">
        <f t="shared" si="121"/>
        <v>0.51111111111111107</v>
      </c>
      <c r="AA111" s="358">
        <f t="shared" si="66"/>
        <v>0.56222222222222218</v>
      </c>
      <c r="AB111" s="359">
        <f t="shared" si="121"/>
        <v>4.5999999999999999E-2</v>
      </c>
      <c r="AC111" s="358">
        <f t="shared" si="67"/>
        <v>5.0599999999999992E-2</v>
      </c>
      <c r="AD111" s="359">
        <f t="shared" si="121"/>
        <v>0.16788321167883211</v>
      </c>
      <c r="AE111" s="358">
        <f t="shared" si="68"/>
        <v>0.18467153284671531</v>
      </c>
      <c r="AF111" s="359">
        <f t="shared" si="121"/>
        <v>0.32857142857142857</v>
      </c>
      <c r="AG111" s="358">
        <f t="shared" si="69"/>
        <v>0.36142857142857138</v>
      </c>
      <c r="AH111" s="359">
        <f t="shared" si="121"/>
        <v>11.5</v>
      </c>
      <c r="AI111" s="358">
        <f t="shared" si="70"/>
        <v>12.649999999999999</v>
      </c>
      <c r="AJ111" s="359">
        <f t="shared" si="121"/>
        <v>0.48167539267015708</v>
      </c>
      <c r="AK111" s="358">
        <f t="shared" si="71"/>
        <v>0.52984293193717269</v>
      </c>
      <c r="AL111" s="359">
        <f t="shared" si="121"/>
        <v>0.43809523809523809</v>
      </c>
      <c r="AM111" s="358">
        <f t="shared" si="72"/>
        <v>0.48190476190476184</v>
      </c>
      <c r="AN111" s="359">
        <f t="shared" si="121"/>
        <v>6.3888888888888884E-2</v>
      </c>
      <c r="AO111" s="358">
        <f t="shared" si="73"/>
        <v>7.0277777777777772E-2</v>
      </c>
      <c r="AP111" s="359">
        <f t="shared" si="121"/>
        <v>8.8122605363984668E-2</v>
      </c>
      <c r="AQ111" s="358">
        <f t="shared" si="74"/>
        <v>9.6934865900383124E-2</v>
      </c>
      <c r="AR111" s="359">
        <f t="shared" si="121"/>
        <v>0.43809523809523809</v>
      </c>
      <c r="AS111" s="358">
        <f t="shared" si="75"/>
        <v>0.48190476190476184</v>
      </c>
      <c r="AT111" s="359">
        <f t="shared" si="121"/>
        <v>0.48421052631578948</v>
      </c>
      <c r="AU111" s="358">
        <f t="shared" si="76"/>
        <v>0.53263157894736834</v>
      </c>
      <c r="AV111" s="359">
        <f t="shared" si="121"/>
        <v>9.583333333333334E-2</v>
      </c>
      <c r="AW111" s="358">
        <f t="shared" si="77"/>
        <v>0.10541666666666666</v>
      </c>
      <c r="AX111" s="359">
        <f t="shared" si="121"/>
        <v>1.1499999999999999</v>
      </c>
      <c r="AY111" s="358">
        <f t="shared" si="78"/>
        <v>1.2649999999999999</v>
      </c>
      <c r="AZ111" s="359">
        <f t="shared" si="121"/>
        <v>0.38333333333333336</v>
      </c>
      <c r="BA111" s="358">
        <f t="shared" si="79"/>
        <v>0.42166666666666663</v>
      </c>
      <c r="BB111" s="359">
        <f t="shared" si="121"/>
        <v>9.583333333333334E-2</v>
      </c>
      <c r="BC111" s="358">
        <f t="shared" si="80"/>
        <v>0.10541666666666666</v>
      </c>
      <c r="BD111" s="359">
        <f t="shared" si="121"/>
        <v>0.61333333333333329</v>
      </c>
      <c r="BE111" s="358">
        <f t="shared" si="81"/>
        <v>0.67466666666666664</v>
      </c>
      <c r="BF111" s="359">
        <f t="shared" si="121"/>
        <v>0.58974358974358976</v>
      </c>
      <c r="BG111" s="358">
        <f t="shared" si="82"/>
        <v>0.64871794871794863</v>
      </c>
      <c r="BH111" s="359">
        <f t="shared" si="121"/>
        <v>0.27600000000000002</v>
      </c>
      <c r="BI111" s="358">
        <f t="shared" si="83"/>
        <v>0.30359999999999998</v>
      </c>
      <c r="BJ111" s="359">
        <f t="shared" si="121"/>
        <v>0.14374999999999999</v>
      </c>
      <c r="BK111" s="358">
        <f t="shared" si="84"/>
        <v>0.15812499999999999</v>
      </c>
      <c r="BL111" s="359">
        <f t="shared" si="121"/>
        <v>0.15081967213114755</v>
      </c>
      <c r="BM111" s="358">
        <f t="shared" si="85"/>
        <v>0.16590163934426227</v>
      </c>
      <c r="BN111" s="359">
        <f t="shared" si="121"/>
        <v>3.5937499999999997E-2</v>
      </c>
      <c r="BO111" s="358">
        <f t="shared" si="86"/>
        <v>3.9531249999999997E-2</v>
      </c>
      <c r="BP111" s="359">
        <f t="shared" si="121"/>
        <v>0.17692307692307693</v>
      </c>
      <c r="BQ111" s="358">
        <f t="shared" si="87"/>
        <v>0.19461538461538461</v>
      </c>
      <c r="BR111" s="359">
        <f t="shared" si="121"/>
        <v>0.1</v>
      </c>
      <c r="BS111" s="358">
        <f t="shared" si="88"/>
        <v>0.10999999999999999</v>
      </c>
      <c r="BT111" s="357">
        <f t="shared" si="121"/>
        <v>0.16428571428571428</v>
      </c>
      <c r="BU111" s="358">
        <f t="shared" si="89"/>
        <v>0.18071428571428569</v>
      </c>
      <c r="BV111" s="359">
        <f t="shared" si="121"/>
        <v>6.8656716417910449E-2</v>
      </c>
      <c r="BW111" s="358">
        <f t="shared" si="90"/>
        <v>7.552238805970149E-2</v>
      </c>
      <c r="BX111" s="359">
        <f t="shared" si="121"/>
        <v>5.3906250000000003E-2</v>
      </c>
      <c r="BY111" s="358">
        <f t="shared" si="91"/>
        <v>5.9296874999999992E-2</v>
      </c>
      <c r="BZ111" s="357">
        <f t="shared" si="121"/>
        <v>0.14374999999999999</v>
      </c>
      <c r="CA111" s="358">
        <f t="shared" si="92"/>
        <v>0.15812499999999999</v>
      </c>
      <c r="CB111" s="359">
        <f t="shared" si="121"/>
        <v>1.6197183098591549E-2</v>
      </c>
      <c r="CC111" s="358">
        <f t="shared" si="93"/>
        <v>1.7816901408450703E-2</v>
      </c>
      <c r="CD111" s="359">
        <f t="shared" si="121"/>
        <v>2.7058823529411764E-2</v>
      </c>
      <c r="CE111" s="358">
        <f t="shared" si="94"/>
        <v>2.9764705882352936E-2</v>
      </c>
      <c r="CF111" s="359">
        <f t="shared" si="121"/>
        <v>0.46</v>
      </c>
      <c r="CG111" s="358">
        <f t="shared" si="95"/>
        <v>0.50599999999999989</v>
      </c>
      <c r="CH111" s="357">
        <f t="shared" si="121"/>
        <v>0.11855670103092783</v>
      </c>
      <c r="CI111" s="358">
        <f t="shared" si="96"/>
        <v>0.1304123711340206</v>
      </c>
      <c r="CJ111" s="359">
        <f t="shared" si="121"/>
        <v>0.13690476190476192</v>
      </c>
      <c r="CK111" s="358">
        <f t="shared" si="97"/>
        <v>0.15059523809523809</v>
      </c>
      <c r="CL111" s="359">
        <f t="shared" si="121"/>
        <v>0.23</v>
      </c>
      <c r="CM111" s="358">
        <f t="shared" si="98"/>
        <v>0.25299999999999995</v>
      </c>
      <c r="CN111" s="357">
        <f t="shared" si="121"/>
        <v>4.3809523809523812E-2</v>
      </c>
      <c r="CO111" s="358">
        <f t="shared" si="99"/>
        <v>4.8190476190476186E-2</v>
      </c>
      <c r="CP111" s="359">
        <f t="shared" si="121"/>
        <v>5.75</v>
      </c>
      <c r="CQ111" s="358">
        <f t="shared" si="100"/>
        <v>6.3249999999999993</v>
      </c>
      <c r="CR111" s="359">
        <f t="shared" si="121"/>
        <v>4.5999999999999999E-3</v>
      </c>
      <c r="CS111" s="366">
        <f t="shared" si="101"/>
        <v>5.0599999999999994E-3</v>
      </c>
    </row>
    <row r="112" spans="1:97" s="25" customFormat="1">
      <c r="A112" s="25" t="s">
        <v>212</v>
      </c>
      <c r="B112" s="239">
        <v>150</v>
      </c>
      <c r="C112" s="239">
        <v>165</v>
      </c>
      <c r="D112" s="344">
        <f t="shared" si="55"/>
        <v>345</v>
      </c>
      <c r="E112" s="345">
        <f t="shared" si="102"/>
        <v>362.25</v>
      </c>
      <c r="F112" s="347">
        <f t="shared" si="56"/>
        <v>379.49999999999994</v>
      </c>
      <c r="H112" s="357">
        <f t="shared" si="103"/>
        <v>23</v>
      </c>
      <c r="I112" s="358">
        <f t="shared" si="104"/>
        <v>25.299999999999997</v>
      </c>
      <c r="J112" s="359">
        <f t="shared" si="103"/>
        <v>23</v>
      </c>
      <c r="K112" s="358">
        <f t="shared" si="104"/>
        <v>25.299999999999997</v>
      </c>
      <c r="L112" s="359">
        <f t="shared" si="57"/>
        <v>6.9</v>
      </c>
      <c r="M112" s="358">
        <f t="shared" si="58"/>
        <v>7.589999999999999</v>
      </c>
      <c r="N112" s="359">
        <f t="shared" si="105"/>
        <v>34.5</v>
      </c>
      <c r="O112" s="358">
        <f t="shared" si="60"/>
        <v>37.949999999999996</v>
      </c>
      <c r="P112" s="359">
        <f t="shared" si="106"/>
        <v>2.875</v>
      </c>
      <c r="Q112" s="358">
        <f t="shared" si="61"/>
        <v>3.1624999999999996</v>
      </c>
      <c r="R112" s="359">
        <f t="shared" ref="R112:CR112" si="122">R87/R$91</f>
        <v>2.6538461538461537</v>
      </c>
      <c r="S112" s="358">
        <f t="shared" si="62"/>
        <v>2.9192307692307686</v>
      </c>
      <c r="T112" s="359">
        <f t="shared" si="122"/>
        <v>6.9</v>
      </c>
      <c r="U112" s="358">
        <f t="shared" si="63"/>
        <v>7.589999999999999</v>
      </c>
      <c r="V112" s="359">
        <f t="shared" si="122"/>
        <v>2.2999999999999998</v>
      </c>
      <c r="W112" s="358">
        <f t="shared" si="64"/>
        <v>2.5299999999999998</v>
      </c>
      <c r="X112" s="359">
        <f t="shared" si="122"/>
        <v>3.1363636363636362</v>
      </c>
      <c r="Y112" s="358">
        <f t="shared" si="65"/>
        <v>3.4499999999999993</v>
      </c>
      <c r="Z112" s="359">
        <f t="shared" si="122"/>
        <v>0.38333333333333336</v>
      </c>
      <c r="AA112" s="358">
        <f t="shared" si="66"/>
        <v>0.42166666666666658</v>
      </c>
      <c r="AB112" s="359">
        <f t="shared" si="122"/>
        <v>3.4500000000000003E-2</v>
      </c>
      <c r="AC112" s="358">
        <f t="shared" si="67"/>
        <v>3.7949999999999998E-2</v>
      </c>
      <c r="AD112" s="359">
        <f t="shared" si="122"/>
        <v>0.5036496350364964</v>
      </c>
      <c r="AE112" s="358">
        <f t="shared" si="68"/>
        <v>0.5540145985401459</v>
      </c>
      <c r="AF112" s="359">
        <f t="shared" si="122"/>
        <v>0.24642857142857144</v>
      </c>
      <c r="AG112" s="358">
        <f t="shared" si="69"/>
        <v>0.27107142857142852</v>
      </c>
      <c r="AH112" s="359">
        <f t="shared" si="122"/>
        <v>2.875</v>
      </c>
      <c r="AI112" s="358">
        <f t="shared" si="70"/>
        <v>3.1624999999999996</v>
      </c>
      <c r="AJ112" s="359">
        <f t="shared" si="122"/>
        <v>0.36125654450261779</v>
      </c>
      <c r="AK112" s="358">
        <f t="shared" si="71"/>
        <v>0.39738219895287952</v>
      </c>
      <c r="AL112" s="359">
        <f t="shared" si="122"/>
        <v>0.32857142857142857</v>
      </c>
      <c r="AM112" s="358">
        <f t="shared" si="72"/>
        <v>0.36142857142857138</v>
      </c>
      <c r="AN112" s="359">
        <f t="shared" si="122"/>
        <v>0.19166666666666668</v>
      </c>
      <c r="AO112" s="358">
        <f t="shared" si="73"/>
        <v>0.21083333333333329</v>
      </c>
      <c r="AP112" s="359">
        <f t="shared" si="122"/>
        <v>0.26436781609195403</v>
      </c>
      <c r="AQ112" s="358">
        <f t="shared" si="74"/>
        <v>0.29080459770114936</v>
      </c>
      <c r="AR112" s="359">
        <f t="shared" si="122"/>
        <v>0.32857142857142857</v>
      </c>
      <c r="AS112" s="358">
        <f t="shared" si="75"/>
        <v>0.36142857142857138</v>
      </c>
      <c r="AT112" s="359">
        <f t="shared" si="122"/>
        <v>0.36315789473684212</v>
      </c>
      <c r="AU112" s="358">
        <f t="shared" si="76"/>
        <v>0.39947368421052626</v>
      </c>
      <c r="AV112" s="359">
        <f t="shared" si="122"/>
        <v>0.28749999999999998</v>
      </c>
      <c r="AW112" s="358">
        <f t="shared" si="77"/>
        <v>0.31624999999999998</v>
      </c>
      <c r="AX112" s="359">
        <f t="shared" si="122"/>
        <v>0.28749999999999998</v>
      </c>
      <c r="AY112" s="358">
        <f t="shared" si="78"/>
        <v>0.31624999999999998</v>
      </c>
      <c r="AZ112" s="359">
        <f t="shared" si="122"/>
        <v>0.28749999999999998</v>
      </c>
      <c r="BA112" s="358">
        <f t="shared" si="79"/>
        <v>0.31624999999999998</v>
      </c>
      <c r="BB112" s="359">
        <f t="shared" si="122"/>
        <v>0.28749999999999998</v>
      </c>
      <c r="BC112" s="358">
        <f t="shared" si="80"/>
        <v>0.31624999999999998</v>
      </c>
      <c r="BD112" s="359">
        <f t="shared" si="122"/>
        <v>0.46</v>
      </c>
      <c r="BE112" s="358">
        <f t="shared" si="81"/>
        <v>0.50599999999999989</v>
      </c>
      <c r="BF112" s="359">
        <f t="shared" si="122"/>
        <v>0.44230769230769229</v>
      </c>
      <c r="BG112" s="358">
        <f t="shared" si="82"/>
        <v>0.48653846153846148</v>
      </c>
      <c r="BH112" s="359">
        <f t="shared" si="122"/>
        <v>6.9000000000000006E-2</v>
      </c>
      <c r="BI112" s="358">
        <f t="shared" si="83"/>
        <v>7.5899999999999995E-2</v>
      </c>
      <c r="BJ112" s="359">
        <f t="shared" si="122"/>
        <v>0.10781250000000001</v>
      </c>
      <c r="BK112" s="358">
        <f t="shared" si="84"/>
        <v>0.11859374999999998</v>
      </c>
      <c r="BL112" s="359">
        <f t="shared" si="122"/>
        <v>0.11311475409836065</v>
      </c>
      <c r="BM112" s="358">
        <f t="shared" si="85"/>
        <v>0.12442622950819671</v>
      </c>
      <c r="BN112" s="359">
        <f t="shared" si="122"/>
        <v>0.10781250000000001</v>
      </c>
      <c r="BO112" s="358">
        <f t="shared" si="86"/>
        <v>0.11859374999999998</v>
      </c>
      <c r="BP112" s="359">
        <f t="shared" si="122"/>
        <v>0.13269230769230769</v>
      </c>
      <c r="BQ112" s="358">
        <f t="shared" si="87"/>
        <v>0.14596153846153845</v>
      </c>
      <c r="BR112" s="359">
        <f t="shared" si="122"/>
        <v>7.4999999999999997E-2</v>
      </c>
      <c r="BS112" s="358">
        <f t="shared" si="88"/>
        <v>8.249999999999999E-2</v>
      </c>
      <c r="BT112" s="357">
        <f t="shared" si="122"/>
        <v>0.12321428571428572</v>
      </c>
      <c r="BU112" s="358">
        <f t="shared" si="89"/>
        <v>0.13553571428571426</v>
      </c>
      <c r="BV112" s="359">
        <f t="shared" si="122"/>
        <v>5.1492537313432833E-2</v>
      </c>
      <c r="BW112" s="358">
        <f t="shared" si="90"/>
        <v>5.664179104477611E-2</v>
      </c>
      <c r="BX112" s="359">
        <f t="shared" si="122"/>
        <v>5.3906250000000003E-2</v>
      </c>
      <c r="BY112" s="358">
        <f t="shared" si="91"/>
        <v>5.9296874999999992E-2</v>
      </c>
      <c r="BZ112" s="357">
        <f t="shared" si="122"/>
        <v>0.43125000000000002</v>
      </c>
      <c r="CA112" s="358">
        <f t="shared" si="92"/>
        <v>0.47437499999999994</v>
      </c>
      <c r="CB112" s="359">
        <f t="shared" si="122"/>
        <v>4.8591549295774646E-2</v>
      </c>
      <c r="CC112" s="358">
        <f t="shared" si="93"/>
        <v>5.3450704225352107E-2</v>
      </c>
      <c r="CD112" s="359">
        <f t="shared" si="122"/>
        <v>2.0294117647058824E-2</v>
      </c>
      <c r="CE112" s="358">
        <f t="shared" si="94"/>
        <v>2.2323529411764704E-2</v>
      </c>
      <c r="CF112" s="359">
        <f t="shared" si="122"/>
        <v>0.34499999999999997</v>
      </c>
      <c r="CG112" s="358">
        <f t="shared" si="95"/>
        <v>0.37949999999999995</v>
      </c>
      <c r="CH112" s="357">
        <f t="shared" si="122"/>
        <v>0.35567010309278352</v>
      </c>
      <c r="CI112" s="358">
        <f t="shared" si="96"/>
        <v>0.3912371134020618</v>
      </c>
      <c r="CJ112" s="359">
        <f t="shared" si="122"/>
        <v>0.4107142857142857</v>
      </c>
      <c r="CK112" s="358">
        <f t="shared" si="97"/>
        <v>0.45178571428571423</v>
      </c>
      <c r="CL112" s="359">
        <f t="shared" si="122"/>
        <v>0.17249999999999999</v>
      </c>
      <c r="CM112" s="358">
        <f t="shared" si="98"/>
        <v>0.18974999999999997</v>
      </c>
      <c r="CN112" s="357">
        <f t="shared" si="122"/>
        <v>3.2857142857142856E-2</v>
      </c>
      <c r="CO112" s="358">
        <f t="shared" si="99"/>
        <v>3.6142857142857136E-2</v>
      </c>
      <c r="CP112" s="359">
        <f t="shared" si="122"/>
        <v>4.3125</v>
      </c>
      <c r="CQ112" s="358">
        <f t="shared" si="100"/>
        <v>4.7437499999999995</v>
      </c>
      <c r="CR112" s="359">
        <f t="shared" si="122"/>
        <v>3.4499999999999999E-3</v>
      </c>
      <c r="CS112" s="366">
        <f t="shared" si="101"/>
        <v>3.7949999999999993E-3</v>
      </c>
    </row>
    <row r="113" spans="1:97" s="25" customFormat="1">
      <c r="A113" s="29" t="s">
        <v>227</v>
      </c>
      <c r="B113" s="326">
        <v>100</v>
      </c>
      <c r="C113" s="326">
        <v>220</v>
      </c>
      <c r="D113" s="351">
        <f t="shared" si="55"/>
        <v>230</v>
      </c>
      <c r="E113" s="352">
        <f t="shared" si="102"/>
        <v>368</v>
      </c>
      <c r="F113" s="353">
        <f t="shared" si="56"/>
        <v>505.99999999999994</v>
      </c>
      <c r="G113" s="29"/>
      <c r="H113" s="360">
        <f t="shared" si="103"/>
        <v>15.333333333333334</v>
      </c>
      <c r="I113" s="361">
        <f t="shared" si="104"/>
        <v>33.733333333333327</v>
      </c>
      <c r="J113" s="362">
        <f t="shared" si="103"/>
        <v>15.333333333333334</v>
      </c>
      <c r="K113" s="361">
        <f t="shared" si="104"/>
        <v>33.733333333333327</v>
      </c>
      <c r="L113" s="362">
        <f t="shared" si="57"/>
        <v>4.5999999999999996</v>
      </c>
      <c r="M113" s="361">
        <f t="shared" si="58"/>
        <v>10.119999999999999</v>
      </c>
      <c r="N113" s="362">
        <f t="shared" si="105"/>
        <v>23</v>
      </c>
      <c r="O113" s="361">
        <f t="shared" si="60"/>
        <v>50.599999999999994</v>
      </c>
      <c r="P113" s="362">
        <f t="shared" si="106"/>
        <v>1.9166666666666667</v>
      </c>
      <c r="Q113" s="361">
        <f t="shared" si="61"/>
        <v>4.2166666666666659</v>
      </c>
      <c r="R113" s="362">
        <f t="shared" ref="R113:CR113" si="123">R88/R$91</f>
        <v>1.7692307692307692</v>
      </c>
      <c r="S113" s="361">
        <f t="shared" si="62"/>
        <v>3.8923076923076918</v>
      </c>
      <c r="T113" s="362">
        <f t="shared" si="123"/>
        <v>4.5999999999999996</v>
      </c>
      <c r="U113" s="361">
        <f t="shared" si="63"/>
        <v>10.119999999999999</v>
      </c>
      <c r="V113" s="362">
        <f t="shared" si="123"/>
        <v>1.5333333333333334</v>
      </c>
      <c r="W113" s="361">
        <f t="shared" si="64"/>
        <v>3.3733333333333331</v>
      </c>
      <c r="X113" s="362">
        <f t="shared" si="123"/>
        <v>2.0909090909090908</v>
      </c>
      <c r="Y113" s="361">
        <f t="shared" si="65"/>
        <v>4.5999999999999996</v>
      </c>
      <c r="Z113" s="362">
        <f t="shared" si="123"/>
        <v>0.25555555555555554</v>
      </c>
      <c r="AA113" s="361">
        <f t="shared" si="66"/>
        <v>0.56222222222222218</v>
      </c>
      <c r="AB113" s="362">
        <f t="shared" si="123"/>
        <v>2.3E-2</v>
      </c>
      <c r="AC113" s="361">
        <f t="shared" si="67"/>
        <v>5.0599999999999992E-2</v>
      </c>
      <c r="AD113" s="362">
        <f t="shared" si="123"/>
        <v>0.33576642335766421</v>
      </c>
      <c r="AE113" s="361">
        <f t="shared" si="68"/>
        <v>0.73868613138686123</v>
      </c>
      <c r="AF113" s="362">
        <f t="shared" si="123"/>
        <v>0.16428571428571428</v>
      </c>
      <c r="AG113" s="361">
        <f t="shared" si="69"/>
        <v>0.36142857142857138</v>
      </c>
      <c r="AH113" s="362">
        <f t="shared" si="123"/>
        <v>1.9166666666666667</v>
      </c>
      <c r="AI113" s="361">
        <f t="shared" si="70"/>
        <v>4.2166666666666659</v>
      </c>
      <c r="AJ113" s="362">
        <f t="shared" si="123"/>
        <v>0.24083769633507854</v>
      </c>
      <c r="AK113" s="361">
        <f t="shared" si="71"/>
        <v>0.52984293193717269</v>
      </c>
      <c r="AL113" s="362">
        <f t="shared" si="123"/>
        <v>0.21904761904761905</v>
      </c>
      <c r="AM113" s="361">
        <f t="shared" si="72"/>
        <v>0.48190476190476184</v>
      </c>
      <c r="AN113" s="362">
        <f t="shared" si="123"/>
        <v>0.12777777777777777</v>
      </c>
      <c r="AO113" s="361">
        <f t="shared" si="73"/>
        <v>0.28111111111111109</v>
      </c>
      <c r="AP113" s="362">
        <f t="shared" si="123"/>
        <v>0.17624521072796934</v>
      </c>
      <c r="AQ113" s="361">
        <f t="shared" si="74"/>
        <v>0.3877394636015325</v>
      </c>
      <c r="AR113" s="362">
        <f t="shared" si="123"/>
        <v>0.21904761904761905</v>
      </c>
      <c r="AS113" s="361">
        <f t="shared" si="75"/>
        <v>0.48190476190476184</v>
      </c>
      <c r="AT113" s="362">
        <f t="shared" si="123"/>
        <v>0.24210526315789474</v>
      </c>
      <c r="AU113" s="361">
        <f t="shared" si="76"/>
        <v>0.53263157894736834</v>
      </c>
      <c r="AV113" s="362">
        <f t="shared" si="123"/>
        <v>0.19166666666666668</v>
      </c>
      <c r="AW113" s="361">
        <f t="shared" si="77"/>
        <v>0.42166666666666663</v>
      </c>
      <c r="AX113" s="362">
        <f t="shared" si="123"/>
        <v>0.19166666666666668</v>
      </c>
      <c r="AY113" s="361">
        <f t="shared" si="78"/>
        <v>0.42166666666666663</v>
      </c>
      <c r="AZ113" s="362">
        <f t="shared" si="123"/>
        <v>0.19166666666666668</v>
      </c>
      <c r="BA113" s="361">
        <f t="shared" si="79"/>
        <v>0.42166666666666663</v>
      </c>
      <c r="BB113" s="362">
        <f t="shared" si="123"/>
        <v>0.19166666666666668</v>
      </c>
      <c r="BC113" s="361">
        <f t="shared" si="80"/>
        <v>0.42166666666666663</v>
      </c>
      <c r="BD113" s="362">
        <f t="shared" si="123"/>
        <v>0.30666666666666664</v>
      </c>
      <c r="BE113" s="361">
        <f t="shared" si="81"/>
        <v>0.67466666666666664</v>
      </c>
      <c r="BF113" s="362">
        <f t="shared" si="123"/>
        <v>0.29487179487179488</v>
      </c>
      <c r="BG113" s="361">
        <f t="shared" si="82"/>
        <v>0.64871794871794863</v>
      </c>
      <c r="BH113" s="362">
        <f t="shared" si="123"/>
        <v>4.5999999999999999E-2</v>
      </c>
      <c r="BI113" s="361">
        <f t="shared" si="83"/>
        <v>0.10119999999999998</v>
      </c>
      <c r="BJ113" s="362">
        <f t="shared" si="123"/>
        <v>7.1874999999999994E-2</v>
      </c>
      <c r="BK113" s="361">
        <f t="shared" si="84"/>
        <v>0.15812499999999999</v>
      </c>
      <c r="BL113" s="362">
        <f t="shared" si="123"/>
        <v>7.5409836065573776E-2</v>
      </c>
      <c r="BM113" s="361">
        <f t="shared" si="85"/>
        <v>0.16590163934426227</v>
      </c>
      <c r="BN113" s="362">
        <f t="shared" si="123"/>
        <v>7.1874999999999994E-2</v>
      </c>
      <c r="BO113" s="361">
        <f t="shared" si="86"/>
        <v>0.15812499999999999</v>
      </c>
      <c r="BP113" s="362">
        <f t="shared" si="123"/>
        <v>8.8461538461538466E-2</v>
      </c>
      <c r="BQ113" s="361">
        <f t="shared" si="87"/>
        <v>0.19461538461538461</v>
      </c>
      <c r="BR113" s="362">
        <f t="shared" si="123"/>
        <v>0.05</v>
      </c>
      <c r="BS113" s="361">
        <f t="shared" si="88"/>
        <v>0.10999999999999999</v>
      </c>
      <c r="BT113" s="360">
        <f t="shared" si="123"/>
        <v>8.2142857142857142E-2</v>
      </c>
      <c r="BU113" s="361">
        <f t="shared" si="89"/>
        <v>0.18071428571428569</v>
      </c>
      <c r="BV113" s="362">
        <f t="shared" si="123"/>
        <v>3.4328358208955224E-2</v>
      </c>
      <c r="BW113" s="361">
        <f t="shared" si="90"/>
        <v>7.552238805970149E-2</v>
      </c>
      <c r="BX113" s="362">
        <f t="shared" si="123"/>
        <v>3.5937499999999997E-2</v>
      </c>
      <c r="BY113" s="361">
        <f t="shared" si="91"/>
        <v>7.9062499999999994E-2</v>
      </c>
      <c r="BZ113" s="360">
        <f t="shared" si="123"/>
        <v>0.28749999999999998</v>
      </c>
      <c r="CA113" s="361">
        <f t="shared" si="92"/>
        <v>0.63249999999999995</v>
      </c>
      <c r="CB113" s="362">
        <f t="shared" si="123"/>
        <v>3.2394366197183097E-2</v>
      </c>
      <c r="CC113" s="361">
        <f t="shared" si="93"/>
        <v>7.1267605633802814E-2</v>
      </c>
      <c r="CD113" s="362">
        <f t="shared" si="123"/>
        <v>1.3529411764705882E-2</v>
      </c>
      <c r="CE113" s="361">
        <f t="shared" si="94"/>
        <v>2.9764705882352936E-2</v>
      </c>
      <c r="CF113" s="362">
        <f t="shared" si="123"/>
        <v>0.23</v>
      </c>
      <c r="CG113" s="361">
        <f t="shared" si="95"/>
        <v>0.50599999999999989</v>
      </c>
      <c r="CH113" s="360">
        <f t="shared" si="123"/>
        <v>0.23711340206185566</v>
      </c>
      <c r="CI113" s="361">
        <f t="shared" si="96"/>
        <v>0.5216494845360824</v>
      </c>
      <c r="CJ113" s="362">
        <f t="shared" si="123"/>
        <v>0.27380952380952384</v>
      </c>
      <c r="CK113" s="361">
        <f t="shared" si="97"/>
        <v>0.60238095238095235</v>
      </c>
      <c r="CL113" s="362">
        <f t="shared" si="123"/>
        <v>0.115</v>
      </c>
      <c r="CM113" s="361">
        <f t="shared" si="98"/>
        <v>0.25299999999999995</v>
      </c>
      <c r="CN113" s="360">
        <f t="shared" si="123"/>
        <v>2.1904761904761906E-2</v>
      </c>
      <c r="CO113" s="361">
        <f t="shared" si="99"/>
        <v>4.8190476190476186E-2</v>
      </c>
      <c r="CP113" s="362">
        <f t="shared" si="123"/>
        <v>2.875</v>
      </c>
      <c r="CQ113" s="361">
        <f t="shared" si="100"/>
        <v>6.3249999999999993</v>
      </c>
      <c r="CR113" s="362">
        <f t="shared" si="123"/>
        <v>2.3E-3</v>
      </c>
      <c r="CS113" s="367">
        <f t="shared" si="101"/>
        <v>5.0599999999999994E-3</v>
      </c>
    </row>
  </sheetData>
  <mergeCells count="1009">
    <mergeCell ref="AV51:AW51"/>
    <mergeCell ref="AX51:AY51"/>
    <mergeCell ref="AZ51:BA51"/>
    <mergeCell ref="BB51:BC51"/>
    <mergeCell ref="BD51:BE51"/>
    <mergeCell ref="BF51:BG51"/>
    <mergeCell ref="BH51:BI51"/>
    <mergeCell ref="BJ51:BK51"/>
    <mergeCell ref="CD51:CE51"/>
    <mergeCell ref="CF51:CG51"/>
    <mergeCell ref="CH51:CI51"/>
    <mergeCell ref="AP51:AQ51"/>
    <mergeCell ref="AR51:AS51"/>
    <mergeCell ref="CJ51:CK51"/>
    <mergeCell ref="CL51:CM51"/>
    <mergeCell ref="CN51:CO51"/>
    <mergeCell ref="CP51:CQ51"/>
    <mergeCell ref="CR51:CS51"/>
    <mergeCell ref="BL51:BM51"/>
    <mergeCell ref="BN51:BO51"/>
    <mergeCell ref="BP51:BQ51"/>
    <mergeCell ref="BR51:BS51"/>
    <mergeCell ref="BT51:BU51"/>
    <mergeCell ref="BV51:BW51"/>
    <mergeCell ref="BX51:BY51"/>
    <mergeCell ref="BZ51:CA51"/>
    <mergeCell ref="CB51:CC51"/>
    <mergeCell ref="CJ50:CK50"/>
    <mergeCell ref="CL50:CM50"/>
    <mergeCell ref="CN50:CO50"/>
    <mergeCell ref="CP50:CQ50"/>
    <mergeCell ref="CR50:CS50"/>
    <mergeCell ref="BR50:BS50"/>
    <mergeCell ref="BT50:BU50"/>
    <mergeCell ref="BV50:BW50"/>
    <mergeCell ref="BX50:BY50"/>
    <mergeCell ref="BZ50:CA50"/>
    <mergeCell ref="CB50:CC50"/>
    <mergeCell ref="CD50:CE50"/>
    <mergeCell ref="CF50:CG50"/>
    <mergeCell ref="CH50:CI50"/>
    <mergeCell ref="BN50:BO50"/>
    <mergeCell ref="BP50:BQ50"/>
    <mergeCell ref="AP50:AQ50"/>
    <mergeCell ref="AR50:AS50"/>
    <mergeCell ref="AT50:AU50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N51:AO51"/>
    <mergeCell ref="AT51:AU51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X50:AY50"/>
    <mergeCell ref="BX49:BY49"/>
    <mergeCell ref="BZ49:CA49"/>
    <mergeCell ref="CB49:CC49"/>
    <mergeCell ref="CD49:CE49"/>
    <mergeCell ref="CF49:CG49"/>
    <mergeCell ref="CH49:CI49"/>
    <mergeCell ref="CJ49:CK49"/>
    <mergeCell ref="CL49:CM49"/>
    <mergeCell ref="CN49:CO49"/>
    <mergeCell ref="BF49:BG49"/>
    <mergeCell ref="BH49:BI49"/>
    <mergeCell ref="BJ49:BK49"/>
    <mergeCell ref="BL49:BM49"/>
    <mergeCell ref="BN49:BO49"/>
    <mergeCell ref="BP49:BQ49"/>
    <mergeCell ref="BR49:BS49"/>
    <mergeCell ref="BT49:BU49"/>
    <mergeCell ref="BV49:BW49"/>
    <mergeCell ref="AZ50:BA50"/>
    <mergeCell ref="BB50:BC50"/>
    <mergeCell ref="BD50:BE50"/>
    <mergeCell ref="BF50:BG50"/>
    <mergeCell ref="BH50:BI50"/>
    <mergeCell ref="BJ50:BK50"/>
    <mergeCell ref="BL50:BM50"/>
    <mergeCell ref="BB49:BC49"/>
    <mergeCell ref="BD49:BE49"/>
    <mergeCell ref="CD48:CE48"/>
    <mergeCell ref="CF48:CG48"/>
    <mergeCell ref="CH48:CI48"/>
    <mergeCell ref="CJ48:CK48"/>
    <mergeCell ref="AP48:AQ48"/>
    <mergeCell ref="AR48:AS48"/>
    <mergeCell ref="CL48:CM48"/>
    <mergeCell ref="CN48:CO48"/>
    <mergeCell ref="CP48:CQ48"/>
    <mergeCell ref="CR48:CS48"/>
    <mergeCell ref="BN48:BO48"/>
    <mergeCell ref="BP48:BQ48"/>
    <mergeCell ref="BR48:BS48"/>
    <mergeCell ref="BT48:BU48"/>
    <mergeCell ref="BV48:BW48"/>
    <mergeCell ref="BX48:BY48"/>
    <mergeCell ref="BZ48:CA48"/>
    <mergeCell ref="CB48:CC48"/>
    <mergeCell ref="CP49:CQ49"/>
    <mergeCell ref="CR49:CS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BL48:BM48"/>
    <mergeCell ref="AT48:AU48"/>
    <mergeCell ref="AV48:AW48"/>
    <mergeCell ref="AX48:AY48"/>
    <mergeCell ref="AZ48:BA48"/>
    <mergeCell ref="BB48:BC48"/>
    <mergeCell ref="H48:I48"/>
    <mergeCell ref="J48:K48"/>
    <mergeCell ref="BD48:BE48"/>
    <mergeCell ref="BF48:BG48"/>
    <mergeCell ref="BH48:BI48"/>
    <mergeCell ref="BJ48:BK48"/>
    <mergeCell ref="AN49:AO49"/>
    <mergeCell ref="AP49:AQ49"/>
    <mergeCell ref="AR49:AS49"/>
    <mergeCell ref="AT49:AU49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AL48:AM48"/>
    <mergeCell ref="AN48:AO48"/>
    <mergeCell ref="CR46:CS46"/>
    <mergeCell ref="E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V47:AW47"/>
    <mergeCell ref="AX47:AY47"/>
    <mergeCell ref="BZ46:CA46"/>
    <mergeCell ref="CB46:CC46"/>
    <mergeCell ref="CD46:CE46"/>
    <mergeCell ref="CF46:CG46"/>
    <mergeCell ref="CH46:CI46"/>
    <mergeCell ref="CJ46:CK46"/>
    <mergeCell ref="CL46:CM46"/>
    <mergeCell ref="CN46:CO46"/>
    <mergeCell ref="CP46:CQ46"/>
    <mergeCell ref="BH46:BI46"/>
    <mergeCell ref="BJ46:BK46"/>
    <mergeCell ref="BL46:BM46"/>
    <mergeCell ref="BN46:BO46"/>
    <mergeCell ref="BP46:BQ46"/>
    <mergeCell ref="BR46:BS46"/>
    <mergeCell ref="BT46:BU46"/>
    <mergeCell ref="BV46:BW46"/>
    <mergeCell ref="BX46:BY46"/>
    <mergeCell ref="CH47:CI47"/>
    <mergeCell ref="AZ47:BA47"/>
    <mergeCell ref="BR47:BS47"/>
    <mergeCell ref="BT47:BU47"/>
    <mergeCell ref="BV47:BW47"/>
    <mergeCell ref="BX47:BY47"/>
    <mergeCell ref="BZ47:CA47"/>
    <mergeCell ref="CB47:CC47"/>
    <mergeCell ref="CD47:CE47"/>
    <mergeCell ref="CF47:CG47"/>
    <mergeCell ref="T42:U42"/>
    <mergeCell ref="V42:W42"/>
    <mergeCell ref="X42:Y42"/>
    <mergeCell ref="Z42:AA42"/>
    <mergeCell ref="AB42:AC42"/>
    <mergeCell ref="AD42:AE42"/>
    <mergeCell ref="BB47:BC47"/>
    <mergeCell ref="BD47:BE47"/>
    <mergeCell ref="BF47:BG47"/>
    <mergeCell ref="BH47:BI47"/>
    <mergeCell ref="BJ47:BK47"/>
    <mergeCell ref="BL47:BM47"/>
    <mergeCell ref="BN47:BO47"/>
    <mergeCell ref="BP47:BQ47"/>
    <mergeCell ref="AP46:AQ46"/>
    <mergeCell ref="AR46:AS46"/>
    <mergeCell ref="AT46:AU46"/>
    <mergeCell ref="AV46:AW46"/>
    <mergeCell ref="AX46:AY46"/>
    <mergeCell ref="AZ46:BA46"/>
    <mergeCell ref="BB46:BC46"/>
    <mergeCell ref="BD46:BE46"/>
    <mergeCell ref="BF46:BG46"/>
    <mergeCell ref="AL47:AM47"/>
    <mergeCell ref="AN47:AO47"/>
    <mergeCell ref="AP47:AQ47"/>
    <mergeCell ref="AR47:AS47"/>
    <mergeCell ref="AT47:AU47"/>
    <mergeCell ref="AZ42:BA42"/>
    <mergeCell ref="BB42:BC42"/>
    <mergeCell ref="BD42:BE42"/>
    <mergeCell ref="BF42:BG42"/>
    <mergeCell ref="CR90:CS90"/>
    <mergeCell ref="CR91:CS91"/>
    <mergeCell ref="CD90:CE90"/>
    <mergeCell ref="CD91:CE91"/>
    <mergeCell ref="CF90:CG90"/>
    <mergeCell ref="CF91:CG91"/>
    <mergeCell ref="CH90:CI90"/>
    <mergeCell ref="CH91:CI91"/>
    <mergeCell ref="CJ90:CK90"/>
    <mergeCell ref="CJ91:CK91"/>
    <mergeCell ref="CL90:CM90"/>
    <mergeCell ref="CL91:CM91"/>
    <mergeCell ref="BT90:BU90"/>
    <mergeCell ref="BT91:BU91"/>
    <mergeCell ref="BV90:BW90"/>
    <mergeCell ref="BV91:BW91"/>
    <mergeCell ref="BX90:BY90"/>
    <mergeCell ref="BX91:BY91"/>
    <mergeCell ref="BZ90:CA90"/>
    <mergeCell ref="BZ91:CA91"/>
    <mergeCell ref="CB90:CC90"/>
    <mergeCell ref="CB91:CC91"/>
    <mergeCell ref="BB91:BC91"/>
    <mergeCell ref="BD90:BE90"/>
    <mergeCell ref="BD91:BE91"/>
    <mergeCell ref="BF90:BG90"/>
    <mergeCell ref="BF91:BG91"/>
    <mergeCell ref="BH90:BI90"/>
    <mergeCell ref="BH91:BI91"/>
    <mergeCell ref="AL46:AM46"/>
    <mergeCell ref="AN46:AO46"/>
    <mergeCell ref="AR39:AS39"/>
    <mergeCell ref="AT39:AU39"/>
    <mergeCell ref="AV39:AW39"/>
    <mergeCell ref="AB39:AC39"/>
    <mergeCell ref="CN90:CO90"/>
    <mergeCell ref="CN91:CO91"/>
    <mergeCell ref="CP90:CQ90"/>
    <mergeCell ref="CP91:CQ91"/>
    <mergeCell ref="AB46:AC46"/>
    <mergeCell ref="AD46:AE46"/>
    <mergeCell ref="AF46:AG46"/>
    <mergeCell ref="AH46:AI46"/>
    <mergeCell ref="AJ46:AK46"/>
    <mergeCell ref="AF39:AG39"/>
    <mergeCell ref="AH39:AI39"/>
    <mergeCell ref="AJ39:AK39"/>
    <mergeCell ref="CJ47:CK47"/>
    <mergeCell ref="CL47:CM47"/>
    <mergeCell ref="CN47:CO47"/>
    <mergeCell ref="CP47:CQ47"/>
    <mergeCell ref="AV49:AW49"/>
    <mergeCell ref="AX49:AY49"/>
    <mergeCell ref="AZ49:BA49"/>
    <mergeCell ref="V92:W92"/>
    <mergeCell ref="X92:Y92"/>
    <mergeCell ref="Z92:AA92"/>
    <mergeCell ref="Z39:AA39"/>
    <mergeCell ref="AP90:AQ90"/>
    <mergeCell ref="AP91:AQ91"/>
    <mergeCell ref="AR90:AS90"/>
    <mergeCell ref="AR91:AS91"/>
    <mergeCell ref="AT90:AU90"/>
    <mergeCell ref="AT91:AU91"/>
    <mergeCell ref="AV90:AW90"/>
    <mergeCell ref="AV91:AW91"/>
    <mergeCell ref="AX90:AY90"/>
    <mergeCell ref="AX91:AY91"/>
    <mergeCell ref="AB90:AC90"/>
    <mergeCell ref="AB91:AC91"/>
    <mergeCell ref="AD90:AE90"/>
    <mergeCell ref="AD91:AE91"/>
    <mergeCell ref="AF90:AG90"/>
    <mergeCell ref="AF91:AG91"/>
    <mergeCell ref="AL90:AM90"/>
    <mergeCell ref="AL91:AM91"/>
    <mergeCell ref="AN90:AO90"/>
    <mergeCell ref="AN91:AO91"/>
    <mergeCell ref="AH90:AI90"/>
    <mergeCell ref="AH91:AI91"/>
    <mergeCell ref="AJ90:AK90"/>
    <mergeCell ref="AJ91:AK91"/>
    <mergeCell ref="V46:W46"/>
    <mergeCell ref="X46:Y46"/>
    <mergeCell ref="Z46:AA46"/>
    <mergeCell ref="AV50:AW50"/>
    <mergeCell ref="B94:C94"/>
    <mergeCell ref="D94:F94"/>
    <mergeCell ref="A18:A20"/>
    <mergeCell ref="A21:A22"/>
    <mergeCell ref="A65:A67"/>
    <mergeCell ref="D65:D67"/>
    <mergeCell ref="B69:C69"/>
    <mergeCell ref="D69:F69"/>
    <mergeCell ref="H90:I90"/>
    <mergeCell ref="H91:I91"/>
    <mergeCell ref="G30:G32"/>
    <mergeCell ref="E30:F32"/>
    <mergeCell ref="E33:F35"/>
    <mergeCell ref="G33:G35"/>
    <mergeCell ref="H58:I58"/>
    <mergeCell ref="R92:S92"/>
    <mergeCell ref="T92:U92"/>
    <mergeCell ref="D39:D44"/>
    <mergeCell ref="D46:D51"/>
    <mergeCell ref="H46:I46"/>
    <mergeCell ref="J46:K46"/>
    <mergeCell ref="L46:M46"/>
    <mergeCell ref="N46:O46"/>
    <mergeCell ref="P46:Q46"/>
    <mergeCell ref="R46:S46"/>
    <mergeCell ref="T46:U46"/>
    <mergeCell ref="H42:I42"/>
    <mergeCell ref="J42:K42"/>
    <mergeCell ref="L42:M42"/>
    <mergeCell ref="N42:O42"/>
    <mergeCell ref="P42:Q42"/>
    <mergeCell ref="R42:S42"/>
    <mergeCell ref="BL70:BM70"/>
    <mergeCell ref="BJ70:BK70"/>
    <mergeCell ref="BH70:BI70"/>
    <mergeCell ref="BF70:BG70"/>
    <mergeCell ref="BX70:BY70"/>
    <mergeCell ref="BV70:BW70"/>
    <mergeCell ref="BT70:BU70"/>
    <mergeCell ref="BR70:BS70"/>
    <mergeCell ref="BP70:BQ70"/>
    <mergeCell ref="R90:S90"/>
    <mergeCell ref="R91:S91"/>
    <mergeCell ref="T90:U90"/>
    <mergeCell ref="T91:U91"/>
    <mergeCell ref="V90:W90"/>
    <mergeCell ref="V91:W91"/>
    <mergeCell ref="X90:Y90"/>
    <mergeCell ref="X91:Y91"/>
    <mergeCell ref="Z90:AA90"/>
    <mergeCell ref="Z91:AA91"/>
    <mergeCell ref="BJ90:BK90"/>
    <mergeCell ref="BJ91:BK91"/>
    <mergeCell ref="BL90:BM90"/>
    <mergeCell ref="BL91:BM91"/>
    <mergeCell ref="BN90:BO90"/>
    <mergeCell ref="BN91:BO91"/>
    <mergeCell ref="BP90:BQ90"/>
    <mergeCell ref="BP91:BQ91"/>
    <mergeCell ref="BR90:BS90"/>
    <mergeCell ref="BR91:BS91"/>
    <mergeCell ref="AZ90:BA90"/>
    <mergeCell ref="AZ91:BA91"/>
    <mergeCell ref="BB90:BC90"/>
    <mergeCell ref="AP70:AQ70"/>
    <mergeCell ref="AN70:AO70"/>
    <mergeCell ref="AL70:AM70"/>
    <mergeCell ref="BD70:BE70"/>
    <mergeCell ref="BB70:BC70"/>
    <mergeCell ref="AZ70:BA70"/>
    <mergeCell ref="AX70:AY70"/>
    <mergeCell ref="AV70:AW70"/>
    <mergeCell ref="Z70:AA70"/>
    <mergeCell ref="X70:Y70"/>
    <mergeCell ref="V70:W70"/>
    <mergeCell ref="T70:U70"/>
    <mergeCell ref="R70:S70"/>
    <mergeCell ref="AJ70:AK70"/>
    <mergeCell ref="AH70:AI70"/>
    <mergeCell ref="AF70:AG70"/>
    <mergeCell ref="AD70:AE70"/>
    <mergeCell ref="AB70:AC70"/>
    <mergeCell ref="AR70:AS70"/>
    <mergeCell ref="AT70:AU70"/>
    <mergeCell ref="H95:I95"/>
    <mergeCell ref="J95:K95"/>
    <mergeCell ref="L95:M95"/>
    <mergeCell ref="N95:O95"/>
    <mergeCell ref="P95:Q95"/>
    <mergeCell ref="P70:Q70"/>
    <mergeCell ref="N70:O70"/>
    <mergeCell ref="L70:M70"/>
    <mergeCell ref="J70:K70"/>
    <mergeCell ref="H70:I70"/>
    <mergeCell ref="J90:K90"/>
    <mergeCell ref="L90:M90"/>
    <mergeCell ref="N90:O90"/>
    <mergeCell ref="J91:K91"/>
    <mergeCell ref="L91:M91"/>
    <mergeCell ref="N91:O91"/>
    <mergeCell ref="P90:Q90"/>
    <mergeCell ref="P91:Q91"/>
    <mergeCell ref="H92:I92"/>
    <mergeCell ref="J92:K92"/>
    <mergeCell ref="L92:M92"/>
    <mergeCell ref="N92:O92"/>
    <mergeCell ref="P92:Q92"/>
    <mergeCell ref="AB95:AC95"/>
    <mergeCell ref="AD95:AE95"/>
    <mergeCell ref="AF95:AG95"/>
    <mergeCell ref="AH95:AI95"/>
    <mergeCell ref="AJ95:AK95"/>
    <mergeCell ref="R95:S95"/>
    <mergeCell ref="T95:U95"/>
    <mergeCell ref="V95:W95"/>
    <mergeCell ref="X95:Y95"/>
    <mergeCell ref="Z95:AA95"/>
    <mergeCell ref="AV95:AW95"/>
    <mergeCell ref="AX95:AY95"/>
    <mergeCell ref="AZ95:BA95"/>
    <mergeCell ref="BB95:BC95"/>
    <mergeCell ref="BD95:BE95"/>
    <mergeCell ref="AL95:AM95"/>
    <mergeCell ref="AN95:AO95"/>
    <mergeCell ref="AP95:AQ95"/>
    <mergeCell ref="AR95:AS95"/>
    <mergeCell ref="AT95:AU95"/>
    <mergeCell ref="CJ95:CK95"/>
    <mergeCell ref="CL95:CM95"/>
    <mergeCell ref="CN95:CO95"/>
    <mergeCell ref="CP95:CQ95"/>
    <mergeCell ref="CR95:CS95"/>
    <mergeCell ref="BZ95:CA95"/>
    <mergeCell ref="CB95:CC95"/>
    <mergeCell ref="CD95:CE95"/>
    <mergeCell ref="CF95:CG95"/>
    <mergeCell ref="CH95:CI95"/>
    <mergeCell ref="BP95:BQ95"/>
    <mergeCell ref="BR95:BS95"/>
    <mergeCell ref="BT95:BU95"/>
    <mergeCell ref="BV95:BW95"/>
    <mergeCell ref="BX95:BY95"/>
    <mergeCell ref="BF95:BG95"/>
    <mergeCell ref="BH95:BI95"/>
    <mergeCell ref="BJ95:BK95"/>
    <mergeCell ref="BL95:BM95"/>
    <mergeCell ref="BN95:BO95"/>
    <mergeCell ref="CF70:CG70"/>
    <mergeCell ref="CD70:CE70"/>
    <mergeCell ref="CB70:CC70"/>
    <mergeCell ref="BZ70:CA70"/>
    <mergeCell ref="CR70:CS70"/>
    <mergeCell ref="CP70:CQ70"/>
    <mergeCell ref="CN70:CO70"/>
    <mergeCell ref="CL70:CM70"/>
    <mergeCell ref="CJ70:CK70"/>
    <mergeCell ref="BN70:BO70"/>
    <mergeCell ref="CD41:CE41"/>
    <mergeCell ref="CF41:CG41"/>
    <mergeCell ref="CH41:CI41"/>
    <mergeCell ref="CJ41:CK41"/>
    <mergeCell ref="CR43:CS43"/>
    <mergeCell ref="CL44:CM44"/>
    <mergeCell ref="CN44:CO44"/>
    <mergeCell ref="CP44:CQ44"/>
    <mergeCell ref="CR44:CS44"/>
    <mergeCell ref="BV43:BW43"/>
    <mergeCell ref="CH43:CI43"/>
    <mergeCell ref="CJ43:CK43"/>
    <mergeCell ref="CL43:CM43"/>
    <mergeCell ref="CN43:CO43"/>
    <mergeCell ref="CP43:CQ43"/>
    <mergeCell ref="BT42:BU42"/>
    <mergeCell ref="BV42:BW42"/>
    <mergeCell ref="BX42:BY42"/>
    <mergeCell ref="BZ42:CA42"/>
    <mergeCell ref="CB42:CC42"/>
    <mergeCell ref="BV41:BW41"/>
    <mergeCell ref="CR47:CS47"/>
    <mergeCell ref="AB92:AC92"/>
    <mergeCell ref="AD92:AE92"/>
    <mergeCell ref="AF92:AG92"/>
    <mergeCell ref="AH92:AI92"/>
    <mergeCell ref="BH92:BI92"/>
    <mergeCell ref="BJ92:BK92"/>
    <mergeCell ref="BL92:BM92"/>
    <mergeCell ref="BN92:BO92"/>
    <mergeCell ref="BP92:BQ92"/>
    <mergeCell ref="BR92:BS92"/>
    <mergeCell ref="AJ92:AK92"/>
    <mergeCell ref="AL92:AM92"/>
    <mergeCell ref="AN92:AO92"/>
    <mergeCell ref="AP92:AQ92"/>
    <mergeCell ref="AR92:AS92"/>
    <mergeCell ref="AT92:AU92"/>
    <mergeCell ref="AV92:AW92"/>
    <mergeCell ref="AX92:AY92"/>
    <mergeCell ref="AZ92:BA92"/>
    <mergeCell ref="BB92:BC92"/>
    <mergeCell ref="BD92:BE92"/>
    <mergeCell ref="BF92:BG92"/>
    <mergeCell ref="BZ39:CA39"/>
    <mergeCell ref="CB39:CC39"/>
    <mergeCell ref="CD39:CE39"/>
    <mergeCell ref="CF39:CG39"/>
    <mergeCell ref="CH39:CI39"/>
    <mergeCell ref="CJ39:CK39"/>
    <mergeCell ref="CL39:CM39"/>
    <mergeCell ref="CN39:CO39"/>
    <mergeCell ref="CL92:CM92"/>
    <mergeCell ref="CN92:CO92"/>
    <mergeCell ref="CP92:CQ92"/>
    <mergeCell ref="CR92:CS92"/>
    <mergeCell ref="BP39:BQ39"/>
    <mergeCell ref="BR39:BS39"/>
    <mergeCell ref="BT39:BU39"/>
    <mergeCell ref="BV39:BW39"/>
    <mergeCell ref="BX39:BY39"/>
    <mergeCell ref="BT92:BU92"/>
    <mergeCell ref="BV92:BW92"/>
    <mergeCell ref="BX92:BY92"/>
    <mergeCell ref="BZ92:CA92"/>
    <mergeCell ref="CB92:CC92"/>
    <mergeCell ref="CD92:CE92"/>
    <mergeCell ref="CF92:CG92"/>
    <mergeCell ref="CH92:CI92"/>
    <mergeCell ref="CJ92:CK92"/>
    <mergeCell ref="CL41:CM41"/>
    <mergeCell ref="CN41:CO41"/>
    <mergeCell ref="BX41:BY41"/>
    <mergeCell ref="BZ41:CA41"/>
    <mergeCell ref="CB41:CC41"/>
    <mergeCell ref="CH70:CI70"/>
    <mergeCell ref="AV41:AW41"/>
    <mergeCell ref="AD39:AE39"/>
    <mergeCell ref="CR41:CS41"/>
    <mergeCell ref="V40:W40"/>
    <mergeCell ref="X40:Y40"/>
    <mergeCell ref="Z40:AA40"/>
    <mergeCell ref="AB40:AC40"/>
    <mergeCell ref="AD40:AE40"/>
    <mergeCell ref="AF40:AG40"/>
    <mergeCell ref="AH40:AI40"/>
    <mergeCell ref="AL39:AM39"/>
    <mergeCell ref="AN39:AO39"/>
    <mergeCell ref="AP39:AQ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CP39:CQ39"/>
    <mergeCell ref="AX39:AY39"/>
    <mergeCell ref="AZ39:BA39"/>
    <mergeCell ref="BB39:BC39"/>
    <mergeCell ref="BD39:BE39"/>
    <mergeCell ref="BF39:BG39"/>
    <mergeCell ref="BH39:BI39"/>
    <mergeCell ref="BJ39:BK39"/>
    <mergeCell ref="BL39:BM39"/>
    <mergeCell ref="BN39:BO39"/>
    <mergeCell ref="BJ42:BK42"/>
    <mergeCell ref="BL42:BM42"/>
    <mergeCell ref="AZ41:BA41"/>
    <mergeCell ref="BR41:BS41"/>
    <mergeCell ref="AV42:AW42"/>
    <mergeCell ref="AX42:AY42"/>
    <mergeCell ref="CR39:CS39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AL41:AM41"/>
    <mergeCell ref="AN41:AO41"/>
    <mergeCell ref="AP41:AQ41"/>
    <mergeCell ref="AR41:AS41"/>
    <mergeCell ref="CD42:CE42"/>
    <mergeCell ref="CR42:CS42"/>
    <mergeCell ref="BN42:BO42"/>
    <mergeCell ref="BP42:BQ42"/>
    <mergeCell ref="BR42:BS42"/>
    <mergeCell ref="AT41:AU41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AL43:AM43"/>
    <mergeCell ref="AN43:AO43"/>
    <mergeCell ref="BJ43:BK43"/>
    <mergeCell ref="BL43:BM43"/>
    <mergeCell ref="BN43:BO43"/>
    <mergeCell ref="BP43:BQ43"/>
    <mergeCell ref="BR43:BS43"/>
    <mergeCell ref="BT43:BU43"/>
    <mergeCell ref="AT42:AU42"/>
    <mergeCell ref="CH42:CI42"/>
    <mergeCell ref="CJ42:CK42"/>
    <mergeCell ref="CL42:CM42"/>
    <mergeCell ref="CN42:CO42"/>
    <mergeCell ref="CP42:CQ42"/>
    <mergeCell ref="CP41:CQ41"/>
    <mergeCell ref="CH44:CI44"/>
    <mergeCell ref="CJ44:CK44"/>
    <mergeCell ref="BB44:BC44"/>
    <mergeCell ref="BD44:BE44"/>
    <mergeCell ref="BF44:BG44"/>
    <mergeCell ref="BH44:BI44"/>
    <mergeCell ref="BJ44:BK44"/>
    <mergeCell ref="BL44:BM44"/>
    <mergeCell ref="BN44:BO44"/>
    <mergeCell ref="BP44:BQ44"/>
    <mergeCell ref="BR44:BS44"/>
    <mergeCell ref="CD44:CE44"/>
    <mergeCell ref="CF44:CG44"/>
    <mergeCell ref="BZ43:CA43"/>
    <mergeCell ref="CB43:CC43"/>
    <mergeCell ref="CD43:CE43"/>
    <mergeCell ref="CF43:CG43"/>
    <mergeCell ref="CF42:CG42"/>
    <mergeCell ref="BH42:BI42"/>
    <mergeCell ref="AL40:AM40"/>
    <mergeCell ref="AN40:AO40"/>
    <mergeCell ref="AR40:AS40"/>
    <mergeCell ref="AT40:AU40"/>
    <mergeCell ref="BT44:BU44"/>
    <mergeCell ref="BV44:BW44"/>
    <mergeCell ref="BX44:BY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AL44:AM44"/>
    <mergeCell ref="AN44:AO44"/>
    <mergeCell ref="AF42:AG42"/>
    <mergeCell ref="AH42:AI42"/>
    <mergeCell ref="AJ42:AK42"/>
    <mergeCell ref="AL42:AM42"/>
    <mergeCell ref="AN42:AO42"/>
    <mergeCell ref="AP42:AQ42"/>
    <mergeCell ref="AR42:AS42"/>
    <mergeCell ref="AJ40:AK40"/>
    <mergeCell ref="BZ44:CA44"/>
    <mergeCell ref="CB44:CC44"/>
    <mergeCell ref="BJ40:BK40"/>
    <mergeCell ref="BL40:BM40"/>
    <mergeCell ref="AP44:AQ44"/>
    <mergeCell ref="AR44:AS44"/>
    <mergeCell ref="AT44:AU44"/>
    <mergeCell ref="AP43:AQ43"/>
    <mergeCell ref="AR43:AS43"/>
    <mergeCell ref="AT43:AU43"/>
    <mergeCell ref="AX41:AY41"/>
    <mergeCell ref="AP40:AQ40"/>
    <mergeCell ref="BB41:BC41"/>
    <mergeCell ref="BD41:BE41"/>
    <mergeCell ref="BF41:BG41"/>
    <mergeCell ref="BH41:BI41"/>
    <mergeCell ref="BJ41:BK41"/>
    <mergeCell ref="BL41:BM41"/>
    <mergeCell ref="BN41:BO41"/>
    <mergeCell ref="BP41:BQ41"/>
    <mergeCell ref="AV44:AW44"/>
    <mergeCell ref="AX44:AY44"/>
    <mergeCell ref="AZ44:BA44"/>
    <mergeCell ref="AV43:AW43"/>
    <mergeCell ref="AX43:AY43"/>
    <mergeCell ref="AZ43:BA43"/>
    <mergeCell ref="BB43:BC43"/>
    <mergeCell ref="BD43:BE43"/>
    <mergeCell ref="BF43:BG43"/>
    <mergeCell ref="BX43:BY43"/>
    <mergeCell ref="BT41:BU41"/>
    <mergeCell ref="BH43:BI43"/>
    <mergeCell ref="AZ55:BA55"/>
    <mergeCell ref="CF40:CG40"/>
    <mergeCell ref="CH40:CI40"/>
    <mergeCell ref="CJ40:CK40"/>
    <mergeCell ref="CL40:CM40"/>
    <mergeCell ref="CN40:CO40"/>
    <mergeCell ref="CP40:CQ40"/>
    <mergeCell ref="CR40:CS40"/>
    <mergeCell ref="E40:G40"/>
    <mergeCell ref="BN40:BO40"/>
    <mergeCell ref="BP40:BQ40"/>
    <mergeCell ref="BR40:BS40"/>
    <mergeCell ref="BT40:BU40"/>
    <mergeCell ref="BV40:BW40"/>
    <mergeCell ref="BX40:BY40"/>
    <mergeCell ref="BZ40:CA40"/>
    <mergeCell ref="CB40:CC40"/>
    <mergeCell ref="CD40:CE40"/>
    <mergeCell ref="AV40:AW40"/>
    <mergeCell ref="AX40:AY40"/>
    <mergeCell ref="AZ40:BA40"/>
    <mergeCell ref="BB40:BC40"/>
    <mergeCell ref="BD40:BE40"/>
    <mergeCell ref="BF40:BG40"/>
    <mergeCell ref="BH40:BI40"/>
    <mergeCell ref="H40:I40"/>
    <mergeCell ref="J40:K40"/>
    <mergeCell ref="L40:M40"/>
    <mergeCell ref="N40:O40"/>
    <mergeCell ref="P40:Q40"/>
    <mergeCell ref="R40:S40"/>
    <mergeCell ref="T40:U40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AF55:AG55"/>
    <mergeCell ref="AH55:AI55"/>
    <mergeCell ref="AJ55:AK55"/>
    <mergeCell ref="AL55:AM55"/>
    <mergeCell ref="AN55:AO55"/>
    <mergeCell ref="BB55:BC55"/>
    <mergeCell ref="BD55:BE55"/>
    <mergeCell ref="BF55:BG55"/>
    <mergeCell ref="BH55:BI55"/>
    <mergeCell ref="BJ55:BK55"/>
    <mergeCell ref="BL55:BM55"/>
    <mergeCell ref="BN55:BO55"/>
    <mergeCell ref="BP55:BQ55"/>
    <mergeCell ref="BR55:BS55"/>
    <mergeCell ref="BT55:BU55"/>
    <mergeCell ref="BV55:BW55"/>
    <mergeCell ref="BX55:BY55"/>
    <mergeCell ref="BZ55:CA55"/>
    <mergeCell ref="CB55:CC55"/>
    <mergeCell ref="CD55:CE55"/>
    <mergeCell ref="CF55:CG55"/>
    <mergeCell ref="CH55:CI55"/>
    <mergeCell ref="CJ55:CK55"/>
    <mergeCell ref="CL55:CM55"/>
    <mergeCell ref="CN55:CO55"/>
    <mergeCell ref="CP55:CQ55"/>
    <mergeCell ref="CR55:CS55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AH56:AI56"/>
    <mergeCell ref="AJ56:AK56"/>
    <mergeCell ref="AL56:AM56"/>
    <mergeCell ref="AN56:AO56"/>
    <mergeCell ref="AP56:AQ56"/>
    <mergeCell ref="AR56:AS56"/>
    <mergeCell ref="AT56:AU56"/>
    <mergeCell ref="AV56:AW56"/>
    <mergeCell ref="AX56:AY56"/>
    <mergeCell ref="AZ56:BA56"/>
    <mergeCell ref="BB56:BC56"/>
    <mergeCell ref="BD56:BE56"/>
    <mergeCell ref="BF56:BG56"/>
    <mergeCell ref="BH56:BI56"/>
    <mergeCell ref="BJ56:BK56"/>
    <mergeCell ref="BL56:BM56"/>
    <mergeCell ref="BN56:BO56"/>
    <mergeCell ref="BP56:BQ56"/>
    <mergeCell ref="BR56:BS56"/>
    <mergeCell ref="BT56:BU56"/>
    <mergeCell ref="BV56:BW56"/>
    <mergeCell ref="BX56:BY56"/>
    <mergeCell ref="BZ56:CA56"/>
    <mergeCell ref="CB56:CC56"/>
    <mergeCell ref="CD56:CE56"/>
    <mergeCell ref="CF56:CG56"/>
    <mergeCell ref="CH56:CI56"/>
    <mergeCell ref="CJ56:CK56"/>
    <mergeCell ref="CL56:CM56"/>
    <mergeCell ref="CN56:CO56"/>
    <mergeCell ref="CP56:CQ56"/>
    <mergeCell ref="CR56:CS56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G57"/>
    <mergeCell ref="AH57:AI57"/>
    <mergeCell ref="AJ57:AK57"/>
    <mergeCell ref="AL57:AM57"/>
    <mergeCell ref="AN57:AO57"/>
    <mergeCell ref="AP57:AQ57"/>
    <mergeCell ref="AR57:AS57"/>
    <mergeCell ref="AT57:AU57"/>
    <mergeCell ref="AV57:AW57"/>
    <mergeCell ref="AX57:AY57"/>
    <mergeCell ref="AZ57:BA57"/>
    <mergeCell ref="BB57:BC57"/>
    <mergeCell ref="BD57:BE57"/>
    <mergeCell ref="BF57:BG57"/>
    <mergeCell ref="BH57:BI57"/>
    <mergeCell ref="BJ57:BK57"/>
    <mergeCell ref="BL57:BM57"/>
    <mergeCell ref="BN57:BO57"/>
    <mergeCell ref="BP57:BQ57"/>
    <mergeCell ref="BR57:BS57"/>
    <mergeCell ref="BT57:BU57"/>
    <mergeCell ref="BV57:BW57"/>
    <mergeCell ref="BX57:BY57"/>
    <mergeCell ref="BZ57:CA57"/>
    <mergeCell ref="CB57:CC57"/>
    <mergeCell ref="CD57:CE57"/>
    <mergeCell ref="CF57:CG57"/>
    <mergeCell ref="CH57:CI57"/>
    <mergeCell ref="CJ57:CK57"/>
    <mergeCell ref="CL57:CM57"/>
    <mergeCell ref="CN57:CO57"/>
    <mergeCell ref="CP57:CQ57"/>
    <mergeCell ref="CR57:CS57"/>
    <mergeCell ref="J58:K58"/>
    <mergeCell ref="L58:M58"/>
    <mergeCell ref="N58:O58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AL58:AM58"/>
    <mergeCell ref="AN58:AO58"/>
    <mergeCell ref="AP58:AQ58"/>
    <mergeCell ref="AR58:AS58"/>
    <mergeCell ref="AZ58:BA58"/>
    <mergeCell ref="BB58:BC58"/>
    <mergeCell ref="BD58:BE58"/>
    <mergeCell ref="BF58:BG58"/>
    <mergeCell ref="BH58:BI58"/>
    <mergeCell ref="BJ58:BK58"/>
    <mergeCell ref="CD58:CE58"/>
    <mergeCell ref="CF58:CG58"/>
    <mergeCell ref="CH58:CI58"/>
    <mergeCell ref="CJ58:CK58"/>
    <mergeCell ref="CL58:CM58"/>
    <mergeCell ref="CN58:CO58"/>
    <mergeCell ref="CP58:CQ58"/>
    <mergeCell ref="CR58:CS58"/>
    <mergeCell ref="BL58:BM58"/>
    <mergeCell ref="BN58:BO58"/>
    <mergeCell ref="BP58:BQ58"/>
    <mergeCell ref="BR58:BS58"/>
    <mergeCell ref="BT58:BU58"/>
    <mergeCell ref="BV58:BW58"/>
    <mergeCell ref="BX58:BY58"/>
    <mergeCell ref="BZ58:CA58"/>
    <mergeCell ref="CB58:CC58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AL54:AM54"/>
    <mergeCell ref="AN54:AO54"/>
    <mergeCell ref="AP54:AQ54"/>
    <mergeCell ref="AR54:AS54"/>
    <mergeCell ref="AT54:AU54"/>
    <mergeCell ref="AV54:AW54"/>
    <mergeCell ref="AX54:AY54"/>
    <mergeCell ref="AT58:AU58"/>
    <mergeCell ref="AV58:AW58"/>
    <mergeCell ref="AX58:AY58"/>
    <mergeCell ref="AP55:AQ55"/>
    <mergeCell ref="AR55:AS55"/>
    <mergeCell ref="AT55:AU55"/>
    <mergeCell ref="AV55:AW55"/>
    <mergeCell ref="AX55:AY55"/>
    <mergeCell ref="D54:D58"/>
    <mergeCell ref="CJ54:CK54"/>
    <mergeCell ref="CL54:CM54"/>
    <mergeCell ref="CN54:CO54"/>
    <mergeCell ref="CP54:CQ54"/>
    <mergeCell ref="CR54:CS54"/>
    <mergeCell ref="E36:F38"/>
    <mergeCell ref="G36:G38"/>
    <mergeCell ref="BR54:BS54"/>
    <mergeCell ref="BT54:BU54"/>
    <mergeCell ref="BV54:BW54"/>
    <mergeCell ref="BX54:BY54"/>
    <mergeCell ref="BZ54:CA54"/>
    <mergeCell ref="CB54:CC54"/>
    <mergeCell ref="CD54:CE54"/>
    <mergeCell ref="CF54:CG54"/>
    <mergeCell ref="CH54:CI54"/>
    <mergeCell ref="AZ54:BA54"/>
    <mergeCell ref="BB54:BC54"/>
    <mergeCell ref="BD54:BE54"/>
    <mergeCell ref="BF54:BG54"/>
    <mergeCell ref="BH54:BI54"/>
    <mergeCell ref="BJ54:BK54"/>
    <mergeCell ref="BL54:BM54"/>
    <mergeCell ref="BN54:BO54"/>
    <mergeCell ref="BP54:BQ54"/>
    <mergeCell ref="H54:I54"/>
    <mergeCell ref="J54:K54"/>
    <mergeCell ref="L54:M54"/>
    <mergeCell ref="N54:O54"/>
    <mergeCell ref="P54:Q54"/>
    <mergeCell ref="R54:S54"/>
  </mergeCells>
  <conditionalFormatting sqref="H55:CS58">
    <cfRule type="cellIs" dxfId="3" priority="3" operator="lessThan">
      <formula>0.995</formula>
    </cfRule>
    <cfRule type="cellIs" dxfId="2" priority="4" operator="greaterThan">
      <formula>0.99</formula>
    </cfRule>
  </conditionalFormatting>
  <conditionalFormatting sqref="H96:CS113">
    <cfRule type="cellIs" dxfId="1" priority="1" operator="lessThan">
      <formula>0.995</formula>
    </cfRule>
    <cfRule type="cellIs" dxfId="0" priority="2" operator="greaterThan">
      <formula>0.995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CQ96:CQ113 BS96:CO113 H96:BQ113 L48:CS51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U49"/>
  <sheetViews>
    <sheetView workbookViewId="0">
      <pane ySplit="3" topLeftCell="A4" activePane="bottomLeft" state="frozen"/>
      <selection pane="bottomLeft" activeCell="G21" sqref="G21"/>
    </sheetView>
  </sheetViews>
  <sheetFormatPr baseColWidth="10" defaultRowHeight="15"/>
  <cols>
    <col min="2" max="2" width="21.7109375" bestFit="1" customWidth="1"/>
    <col min="3" max="3" width="5.7109375" style="485" bestFit="1" customWidth="1"/>
    <col min="4" max="4" width="4.28515625" style="485" bestFit="1" customWidth="1"/>
    <col min="5" max="5" width="6" style="30" customWidth="1"/>
    <col min="6" max="6" width="9.7109375" style="485" customWidth="1"/>
    <col min="7" max="7" width="5.42578125" customWidth="1"/>
    <col min="8" max="8" width="5.5703125" customWidth="1"/>
    <col min="9" max="9" width="22.28515625" bestFit="1" customWidth="1"/>
    <col min="10" max="10" width="11.42578125" customWidth="1"/>
    <col min="11" max="11" width="4.7109375" style="497" customWidth="1"/>
    <col min="12" max="13" width="5.85546875" style="497" customWidth="1"/>
    <col min="14" max="14" width="6" style="497" customWidth="1"/>
    <col min="15" max="15" width="5.7109375" style="497" customWidth="1"/>
    <col min="16" max="16" width="6.42578125" style="497" customWidth="1"/>
    <col min="17" max="17" width="6.7109375" customWidth="1"/>
    <col min="18" max="18" width="7" customWidth="1"/>
    <col min="19" max="19" width="7.28515625" customWidth="1"/>
    <col min="20" max="20" width="6.42578125" customWidth="1"/>
    <col min="21" max="21" width="7.140625" customWidth="1"/>
  </cols>
  <sheetData>
    <row r="1" spans="1:21" ht="18.75">
      <c r="A1" s="373" t="s">
        <v>769</v>
      </c>
    </row>
    <row r="2" spans="1:21" ht="15.75" thickBot="1">
      <c r="L2" s="647" t="s">
        <v>441</v>
      </c>
      <c r="M2" s="647"/>
      <c r="N2" s="647"/>
      <c r="O2" s="647"/>
      <c r="P2" s="647"/>
      <c r="Q2" s="583" t="s">
        <v>794</v>
      </c>
      <c r="R2" s="583"/>
      <c r="S2" s="583"/>
      <c r="T2" s="583"/>
      <c r="U2" s="583"/>
    </row>
    <row r="3" spans="1:21" ht="15.75" thickBot="1">
      <c r="A3" s="66"/>
      <c r="B3" s="378" t="s">
        <v>442</v>
      </c>
      <c r="C3" s="385" t="s">
        <v>59</v>
      </c>
      <c r="D3" s="383" t="s">
        <v>395</v>
      </c>
      <c r="E3" s="379" t="s">
        <v>770</v>
      </c>
      <c r="F3" s="386" t="s">
        <v>445</v>
      </c>
      <c r="I3" s="382" t="s">
        <v>379</v>
      </c>
      <c r="J3" s="381" t="s">
        <v>395</v>
      </c>
      <c r="K3" s="509" t="s">
        <v>374</v>
      </c>
      <c r="L3" s="498" t="s">
        <v>30</v>
      </c>
      <c r="M3" s="498" t="s">
        <v>31</v>
      </c>
      <c r="N3" s="498" t="s">
        <v>32</v>
      </c>
      <c r="O3" s="498" t="s">
        <v>73</v>
      </c>
      <c r="P3" s="498" t="s">
        <v>74</v>
      </c>
      <c r="Q3" s="486" t="s">
        <v>30</v>
      </c>
      <c r="R3" s="378" t="s">
        <v>31</v>
      </c>
      <c r="S3" s="378" t="s">
        <v>32</v>
      </c>
      <c r="T3" s="378" t="s">
        <v>73</v>
      </c>
      <c r="U3" s="380" t="s">
        <v>74</v>
      </c>
    </row>
    <row r="4" spans="1:21">
      <c r="A4" s="649" t="s">
        <v>771</v>
      </c>
      <c r="B4" s="120" t="s">
        <v>444</v>
      </c>
      <c r="C4" s="452">
        <v>38</v>
      </c>
      <c r="D4" s="529" t="s">
        <v>30</v>
      </c>
      <c r="E4" s="389">
        <v>0.02</v>
      </c>
      <c r="F4" s="411">
        <f>C4*E4</f>
        <v>0.76</v>
      </c>
      <c r="H4">
        <v>1</v>
      </c>
      <c r="I4" s="436" t="s">
        <v>537</v>
      </c>
      <c r="J4" s="437" t="s">
        <v>399</v>
      </c>
      <c r="K4" s="510">
        <v>15</v>
      </c>
      <c r="L4" s="499">
        <v>300</v>
      </c>
      <c r="M4" s="499">
        <v>200</v>
      </c>
      <c r="N4" s="499">
        <v>300</v>
      </c>
      <c r="O4" s="499"/>
      <c r="P4" s="499">
        <v>500</v>
      </c>
      <c r="Q4" s="487">
        <f>L4*(1+$F$21+$F$38)+$F$20</f>
        <v>613</v>
      </c>
      <c r="R4" s="438">
        <f>M4*(1+$F$23+$F$37)+$F$17</f>
        <v>476</v>
      </c>
      <c r="S4" s="438">
        <f>N4*(1+$F$22+$F$39)+$F$18</f>
        <v>632</v>
      </c>
      <c r="T4" s="438"/>
      <c r="U4" s="439">
        <f>P4</f>
        <v>500</v>
      </c>
    </row>
    <row r="5" spans="1:21">
      <c r="A5" s="644"/>
      <c r="B5" s="25" t="s">
        <v>446</v>
      </c>
      <c r="C5" s="453">
        <v>33</v>
      </c>
      <c r="D5" s="201" t="s">
        <v>31</v>
      </c>
      <c r="E5" s="375">
        <v>0.02</v>
      </c>
      <c r="F5" s="407">
        <f t="shared" ref="F5:F25" si="0">C5*E5</f>
        <v>0.66</v>
      </c>
      <c r="H5">
        <v>2</v>
      </c>
      <c r="I5" s="436" t="s">
        <v>384</v>
      </c>
      <c r="J5" s="437" t="s">
        <v>399</v>
      </c>
      <c r="K5" s="510">
        <v>20</v>
      </c>
      <c r="L5" s="499">
        <v>20</v>
      </c>
      <c r="M5" s="499">
        <v>15</v>
      </c>
      <c r="N5" s="499">
        <v>50</v>
      </c>
      <c r="O5" s="499">
        <v>50</v>
      </c>
      <c r="P5" s="499">
        <v>100</v>
      </c>
      <c r="Q5" s="487">
        <f t="shared" ref="Q5:Q12" si="1">L5*(1+$F$21+$F$38)+$F$20</f>
        <v>218.2</v>
      </c>
      <c r="R5" s="438">
        <f t="shared" ref="R5:R12" si="2">M5*(1+$F$23+$F$37)+$F$17</f>
        <v>188.32499999999999</v>
      </c>
      <c r="S5" s="438">
        <f t="shared" ref="S5:S12" si="3">N5*(1+$F$22+$F$39)+$F$18</f>
        <v>272</v>
      </c>
      <c r="T5" s="438">
        <f>O5+$F$19</f>
        <v>250</v>
      </c>
      <c r="U5" s="439">
        <f t="shared" ref="U5:U12" si="4">P5</f>
        <v>100</v>
      </c>
    </row>
    <row r="6" spans="1:21">
      <c r="A6" s="645"/>
      <c r="B6" s="29" t="s">
        <v>640</v>
      </c>
      <c r="C6" s="454">
        <v>37</v>
      </c>
      <c r="D6" s="343" t="s">
        <v>32</v>
      </c>
      <c r="E6" s="390">
        <v>0.01</v>
      </c>
      <c r="F6" s="409">
        <f t="shared" si="0"/>
        <v>0.37</v>
      </c>
      <c r="H6">
        <v>3</v>
      </c>
      <c r="I6" s="436" t="s">
        <v>79</v>
      </c>
      <c r="J6" s="437" t="s">
        <v>399</v>
      </c>
      <c r="K6" s="510">
        <v>10</v>
      </c>
      <c r="L6" s="499">
        <v>30</v>
      </c>
      <c r="M6" s="499">
        <v>55</v>
      </c>
      <c r="N6" s="499">
        <v>30</v>
      </c>
      <c r="O6" s="499"/>
      <c r="P6" s="499">
        <v>60</v>
      </c>
      <c r="Q6" s="487">
        <f t="shared" si="1"/>
        <v>232.3</v>
      </c>
      <c r="R6" s="438">
        <f t="shared" si="2"/>
        <v>250.52499999999998</v>
      </c>
      <c r="S6" s="438">
        <f t="shared" si="3"/>
        <v>243.2</v>
      </c>
      <c r="T6" s="438"/>
      <c r="U6" s="439">
        <f t="shared" si="4"/>
        <v>60</v>
      </c>
    </row>
    <row r="7" spans="1:21" ht="15" customHeight="1">
      <c r="A7" s="648" t="s">
        <v>772</v>
      </c>
      <c r="B7" s="110" t="s">
        <v>447</v>
      </c>
      <c r="C7" s="455">
        <v>38</v>
      </c>
      <c r="D7" s="392" t="s">
        <v>31</v>
      </c>
      <c r="E7" s="393">
        <v>2.5000000000000001E-2</v>
      </c>
      <c r="F7" s="394">
        <f t="shared" si="0"/>
        <v>0.95000000000000007</v>
      </c>
      <c r="H7">
        <v>5</v>
      </c>
      <c r="I7" s="436" t="s">
        <v>380</v>
      </c>
      <c r="J7" s="437" t="s">
        <v>399</v>
      </c>
      <c r="K7" s="510">
        <v>25</v>
      </c>
      <c r="L7" s="499">
        <v>400</v>
      </c>
      <c r="M7" s="499">
        <v>250</v>
      </c>
      <c r="N7" s="499">
        <v>415</v>
      </c>
      <c r="O7" s="499"/>
      <c r="P7" s="499">
        <v>250</v>
      </c>
      <c r="Q7" s="487">
        <f t="shared" si="1"/>
        <v>754</v>
      </c>
      <c r="R7" s="438">
        <f t="shared" si="2"/>
        <v>553.75</v>
      </c>
      <c r="S7" s="438">
        <f t="shared" si="3"/>
        <v>797.6</v>
      </c>
      <c r="T7" s="438"/>
      <c r="U7" s="439">
        <f t="shared" si="4"/>
        <v>250</v>
      </c>
    </row>
    <row r="8" spans="1:21">
      <c r="A8" s="644"/>
      <c r="B8" s="25" t="s">
        <v>636</v>
      </c>
      <c r="C8" s="453">
        <v>38</v>
      </c>
      <c r="D8" s="201" t="s">
        <v>32</v>
      </c>
      <c r="E8" s="375">
        <v>0.01</v>
      </c>
      <c r="F8" s="407">
        <f t="shared" si="0"/>
        <v>0.38</v>
      </c>
      <c r="H8">
        <v>7</v>
      </c>
      <c r="I8" s="436" t="s">
        <v>58</v>
      </c>
      <c r="J8" s="437" t="s">
        <v>399</v>
      </c>
      <c r="K8" s="510">
        <v>40</v>
      </c>
      <c r="L8" s="499">
        <v>450</v>
      </c>
      <c r="M8" s="499">
        <v>120</v>
      </c>
      <c r="N8" s="499">
        <v>300</v>
      </c>
      <c r="O8" s="499"/>
      <c r="P8" s="499">
        <v>250</v>
      </c>
      <c r="Q8" s="487">
        <f t="shared" si="1"/>
        <v>824.5</v>
      </c>
      <c r="R8" s="438">
        <f t="shared" si="2"/>
        <v>351.6</v>
      </c>
      <c r="S8" s="438">
        <f t="shared" si="3"/>
        <v>632</v>
      </c>
      <c r="T8" s="438"/>
      <c r="U8" s="439">
        <f t="shared" si="4"/>
        <v>250</v>
      </c>
    </row>
    <row r="9" spans="1:21">
      <c r="A9" s="645"/>
      <c r="B9" s="29" t="s">
        <v>448</v>
      </c>
      <c r="C9" s="454">
        <v>38</v>
      </c>
      <c r="D9" s="343" t="s">
        <v>30</v>
      </c>
      <c r="E9" s="390">
        <v>0.01</v>
      </c>
      <c r="F9" s="409">
        <f t="shared" si="0"/>
        <v>0.38</v>
      </c>
      <c r="H9">
        <v>10</v>
      </c>
      <c r="I9" s="436" t="s">
        <v>538</v>
      </c>
      <c r="J9" s="437" t="s">
        <v>399</v>
      </c>
      <c r="K9" s="510">
        <v>60</v>
      </c>
      <c r="L9" s="499">
        <v>1050</v>
      </c>
      <c r="M9" s="499">
        <v>650</v>
      </c>
      <c r="N9" s="499">
        <v>840</v>
      </c>
      <c r="O9" s="499"/>
      <c r="P9" s="499">
        <v>4000</v>
      </c>
      <c r="Q9" s="487">
        <f t="shared" si="1"/>
        <v>1670.5</v>
      </c>
      <c r="R9" s="438">
        <f t="shared" si="2"/>
        <v>1175.75</v>
      </c>
      <c r="S9" s="438">
        <f t="shared" si="3"/>
        <v>1409.6</v>
      </c>
      <c r="T9" s="438"/>
      <c r="U9" s="439">
        <f t="shared" si="4"/>
        <v>4000</v>
      </c>
    </row>
    <row r="10" spans="1:21" ht="15" customHeight="1">
      <c r="A10" s="648" t="s">
        <v>773</v>
      </c>
      <c r="B10" s="110" t="s">
        <v>451</v>
      </c>
      <c r="C10" s="455">
        <v>12</v>
      </c>
      <c r="D10" s="392" t="s">
        <v>73</v>
      </c>
      <c r="E10" s="395">
        <v>10</v>
      </c>
      <c r="F10" s="396">
        <f t="shared" si="0"/>
        <v>120</v>
      </c>
      <c r="H10">
        <v>13</v>
      </c>
      <c r="I10" s="436" t="s">
        <v>76</v>
      </c>
      <c r="J10" s="437" t="s">
        <v>399</v>
      </c>
      <c r="K10" s="510">
        <v>80</v>
      </c>
      <c r="L10" s="499">
        <v>780</v>
      </c>
      <c r="M10" s="499">
        <v>640</v>
      </c>
      <c r="N10" s="499">
        <v>930</v>
      </c>
      <c r="O10" s="499">
        <v>200</v>
      </c>
      <c r="P10" s="499">
        <v>7000</v>
      </c>
      <c r="Q10" s="487">
        <f t="shared" si="1"/>
        <v>1289.8</v>
      </c>
      <c r="R10" s="438">
        <f t="shared" si="2"/>
        <v>1160.1999999999998</v>
      </c>
      <c r="S10" s="438">
        <f t="shared" si="3"/>
        <v>1539.2</v>
      </c>
      <c r="T10" s="438">
        <f>O10+$F$19</f>
        <v>400</v>
      </c>
      <c r="U10" s="439">
        <f t="shared" si="4"/>
        <v>7000</v>
      </c>
    </row>
    <row r="11" spans="1:21">
      <c r="A11" s="644"/>
      <c r="B11" s="25" t="s">
        <v>637</v>
      </c>
      <c r="C11" s="453">
        <v>21</v>
      </c>
      <c r="D11" s="201" t="s">
        <v>32</v>
      </c>
      <c r="E11" s="239">
        <v>5</v>
      </c>
      <c r="F11" s="388">
        <f t="shared" si="0"/>
        <v>105</v>
      </c>
      <c r="H11">
        <v>16</v>
      </c>
      <c r="I11" s="543" t="s">
        <v>461</v>
      </c>
      <c r="J11" s="544" t="s">
        <v>399</v>
      </c>
      <c r="K11" s="545">
        <v>120</v>
      </c>
      <c r="L11" s="545">
        <v>900</v>
      </c>
      <c r="M11" s="499">
        <v>4500</v>
      </c>
      <c r="N11" s="499">
        <v>4700</v>
      </c>
      <c r="O11" s="499"/>
      <c r="P11" s="499">
        <v>2300</v>
      </c>
      <c r="Q11" s="487">
        <f>L11*(1+$F$21+$F$38)+$F$20</f>
        <v>1459</v>
      </c>
      <c r="R11" s="438">
        <f>M11*(1+$F$23+$F$37)+$F$17</f>
        <v>7162.5</v>
      </c>
      <c r="S11" s="438">
        <f>N11*(1+$F$22+$F$39)+$F$18</f>
        <v>6968</v>
      </c>
      <c r="T11" s="438"/>
      <c r="U11" s="439">
        <f>P11</f>
        <v>2300</v>
      </c>
    </row>
    <row r="12" spans="1:21">
      <c r="A12" s="644"/>
      <c r="B12" s="25" t="s">
        <v>638</v>
      </c>
      <c r="C12" s="453">
        <v>28</v>
      </c>
      <c r="D12" s="201" t="s">
        <v>30</v>
      </c>
      <c r="E12" s="239">
        <v>5</v>
      </c>
      <c r="F12" s="388">
        <f t="shared" si="0"/>
        <v>140</v>
      </c>
      <c r="H12">
        <v>20</v>
      </c>
      <c r="I12" s="440" t="s">
        <v>897</v>
      </c>
      <c r="J12" s="441" t="s">
        <v>399</v>
      </c>
      <c r="K12" s="511">
        <v>300</v>
      </c>
      <c r="L12" s="500">
        <v>6000</v>
      </c>
      <c r="M12" s="500">
        <v>6000</v>
      </c>
      <c r="N12" s="500">
        <v>6000</v>
      </c>
      <c r="O12" s="500"/>
      <c r="P12" s="500">
        <v>5000</v>
      </c>
      <c r="Q12" s="488">
        <f t="shared" si="1"/>
        <v>8650</v>
      </c>
      <c r="R12" s="442">
        <f t="shared" si="2"/>
        <v>9495</v>
      </c>
      <c r="S12" s="442">
        <f t="shared" si="3"/>
        <v>8840</v>
      </c>
      <c r="T12" s="442"/>
      <c r="U12" s="443">
        <f t="shared" si="4"/>
        <v>5000</v>
      </c>
    </row>
    <row r="13" spans="1:21">
      <c r="A13" s="644"/>
      <c r="B13" s="25" t="s">
        <v>639</v>
      </c>
      <c r="C13" s="453">
        <v>20</v>
      </c>
      <c r="D13" s="201" t="s">
        <v>31</v>
      </c>
      <c r="E13" s="239">
        <v>5</v>
      </c>
      <c r="F13" s="388">
        <f t="shared" si="0"/>
        <v>100</v>
      </c>
      <c r="H13">
        <v>1</v>
      </c>
      <c r="I13" s="436" t="s">
        <v>514</v>
      </c>
      <c r="J13" s="437" t="s">
        <v>437</v>
      </c>
      <c r="K13" s="510">
        <v>15</v>
      </c>
      <c r="L13" s="499">
        <v>1</v>
      </c>
      <c r="M13" s="499">
        <v>75</v>
      </c>
      <c r="N13" s="499">
        <v>155</v>
      </c>
      <c r="O13" s="499"/>
      <c r="P13" s="499">
        <v>7000</v>
      </c>
      <c r="Q13" s="487">
        <f t="shared" ref="Q13:R15" si="5">L13</f>
        <v>1</v>
      </c>
      <c r="R13" s="438">
        <f t="shared" si="5"/>
        <v>75</v>
      </c>
      <c r="S13" s="438">
        <f>N13*(1+F25)</f>
        <v>248</v>
      </c>
      <c r="T13" s="438"/>
      <c r="U13" s="439">
        <f>P13*(1+F24)</f>
        <v>9520</v>
      </c>
    </row>
    <row r="14" spans="1:21">
      <c r="A14" s="644"/>
      <c r="B14" s="25" t="s">
        <v>449</v>
      </c>
      <c r="C14" s="453">
        <v>18</v>
      </c>
      <c r="D14" s="201" t="s">
        <v>31</v>
      </c>
      <c r="E14" s="376">
        <v>1.4999999999999999E-2</v>
      </c>
      <c r="F14" s="387">
        <f t="shared" si="0"/>
        <v>0.27</v>
      </c>
      <c r="H14">
        <v>10</v>
      </c>
      <c r="I14" s="436" t="s">
        <v>515</v>
      </c>
      <c r="J14" s="437" t="s">
        <v>437</v>
      </c>
      <c r="K14" s="510">
        <v>30</v>
      </c>
      <c r="L14" s="499">
        <v>1</v>
      </c>
      <c r="M14" s="499">
        <v>120</v>
      </c>
      <c r="N14" s="499">
        <v>300</v>
      </c>
      <c r="O14" s="499"/>
      <c r="P14" s="499">
        <v>15000</v>
      </c>
      <c r="Q14" s="487">
        <f t="shared" si="5"/>
        <v>1</v>
      </c>
      <c r="R14" s="438">
        <f t="shared" si="5"/>
        <v>120</v>
      </c>
      <c r="S14" s="438">
        <f>N14*(1+F28)</f>
        <v>660</v>
      </c>
      <c r="T14" s="438"/>
      <c r="U14" s="439">
        <f>P14*(1+F25)</f>
        <v>24000</v>
      </c>
    </row>
    <row r="15" spans="1:21">
      <c r="A15" s="644"/>
      <c r="B15" s="25" t="s">
        <v>450</v>
      </c>
      <c r="C15" s="453">
        <v>20</v>
      </c>
      <c r="D15" s="201" t="s">
        <v>32</v>
      </c>
      <c r="E15" s="375">
        <v>0.02</v>
      </c>
      <c r="F15" s="407">
        <f t="shared" si="0"/>
        <v>0.4</v>
      </c>
      <c r="H15">
        <v>15</v>
      </c>
      <c r="I15" s="440" t="s">
        <v>516</v>
      </c>
      <c r="J15" s="441" t="s">
        <v>437</v>
      </c>
      <c r="K15" s="511">
        <v>60</v>
      </c>
      <c r="L15" s="500">
        <v>1</v>
      </c>
      <c r="M15" s="500">
        <v>150</v>
      </c>
      <c r="N15" s="500">
        <v>800</v>
      </c>
      <c r="O15" s="500"/>
      <c r="P15" s="500">
        <v>40000</v>
      </c>
      <c r="Q15" s="488">
        <f t="shared" si="5"/>
        <v>1</v>
      </c>
      <c r="R15" s="442">
        <f t="shared" si="5"/>
        <v>150</v>
      </c>
      <c r="S15" s="442">
        <f>N15*(1+F29)</f>
        <v>1760.0000000000002</v>
      </c>
      <c r="T15" s="442"/>
      <c r="U15" s="443">
        <f>P15*(1+F28)</f>
        <v>88000</v>
      </c>
    </row>
    <row r="16" spans="1:21">
      <c r="A16" s="645"/>
      <c r="B16" s="29" t="s">
        <v>452</v>
      </c>
      <c r="C16" s="454">
        <v>21</v>
      </c>
      <c r="D16" s="343" t="s">
        <v>30</v>
      </c>
      <c r="E16" s="390">
        <v>0.02</v>
      </c>
      <c r="F16" s="409">
        <f t="shared" si="0"/>
        <v>0.42</v>
      </c>
      <c r="H16">
        <v>1</v>
      </c>
      <c r="I16" s="444" t="s">
        <v>78</v>
      </c>
      <c r="J16" s="445" t="s">
        <v>400</v>
      </c>
      <c r="K16" s="512">
        <v>15</v>
      </c>
      <c r="L16" s="501">
        <v>240</v>
      </c>
      <c r="M16" s="501">
        <v>70</v>
      </c>
      <c r="N16" s="501">
        <v>160</v>
      </c>
      <c r="O16" s="501"/>
      <c r="P16" s="501">
        <v>50</v>
      </c>
      <c r="Q16" s="489">
        <f>L16*(1+$F$16+$F$38)+$F$12</f>
        <v>488</v>
      </c>
      <c r="R16" s="446">
        <f>M16*(1+$F$14+$F$37)+$F$13</f>
        <v>188.9</v>
      </c>
      <c r="S16" s="446">
        <f t="shared" ref="S16:S22" si="6">N16*(1+$F$15+$F$39)+$F$11</f>
        <v>335.4</v>
      </c>
      <c r="T16" s="446"/>
      <c r="U16" s="447">
        <f>P16</f>
        <v>50</v>
      </c>
    </row>
    <row r="17" spans="1:21">
      <c r="A17" s="648" t="s">
        <v>774</v>
      </c>
      <c r="B17" s="110" t="s">
        <v>705</v>
      </c>
      <c r="C17" s="455">
        <v>33</v>
      </c>
      <c r="D17" s="392" t="s">
        <v>31</v>
      </c>
      <c r="E17" s="395">
        <v>5</v>
      </c>
      <c r="F17" s="396">
        <f t="shared" si="0"/>
        <v>165</v>
      </c>
      <c r="H17">
        <v>3</v>
      </c>
      <c r="I17" s="444" t="s">
        <v>394</v>
      </c>
      <c r="J17" s="445" t="s">
        <v>400</v>
      </c>
      <c r="K17" s="512">
        <v>45</v>
      </c>
      <c r="L17" s="501">
        <v>380</v>
      </c>
      <c r="M17" s="501">
        <v>240</v>
      </c>
      <c r="N17" s="501">
        <v>380</v>
      </c>
      <c r="O17" s="501"/>
      <c r="P17" s="501"/>
      <c r="Q17" s="489">
        <f t="shared" ref="Q17:Q22" si="7">L17*(1+$F$16+$F$38)+$F$12</f>
        <v>691</v>
      </c>
      <c r="R17" s="446">
        <f t="shared" ref="R17:R22" si="8">M17*(1+$F$14+$F$37)+$F$13</f>
        <v>404.8</v>
      </c>
      <c r="S17" s="446">
        <f t="shared" si="6"/>
        <v>652.19999999999993</v>
      </c>
      <c r="T17" s="446"/>
      <c r="U17" s="447"/>
    </row>
    <row r="18" spans="1:21">
      <c r="A18" s="644"/>
      <c r="B18" s="25" t="s">
        <v>706</v>
      </c>
      <c r="C18" s="453">
        <v>40</v>
      </c>
      <c r="D18" s="201" t="s">
        <v>32</v>
      </c>
      <c r="E18" s="239">
        <v>5</v>
      </c>
      <c r="F18" s="388">
        <f t="shared" si="0"/>
        <v>200</v>
      </c>
      <c r="H18">
        <v>5</v>
      </c>
      <c r="I18" s="444" t="s">
        <v>381</v>
      </c>
      <c r="J18" s="445" t="s">
        <v>400</v>
      </c>
      <c r="K18" s="512">
        <v>60</v>
      </c>
      <c r="L18" s="501">
        <v>155</v>
      </c>
      <c r="M18" s="501">
        <v>120</v>
      </c>
      <c r="N18" s="501">
        <v>195</v>
      </c>
      <c r="O18" s="501">
        <v>30</v>
      </c>
      <c r="P18" s="501">
        <v>185</v>
      </c>
      <c r="Q18" s="489">
        <f t="shared" si="7"/>
        <v>364.75</v>
      </c>
      <c r="R18" s="446">
        <f t="shared" si="8"/>
        <v>252.4</v>
      </c>
      <c r="S18" s="446">
        <f t="shared" si="6"/>
        <v>385.8</v>
      </c>
      <c r="T18" s="446">
        <f>O18+$F$10</f>
        <v>150</v>
      </c>
      <c r="U18" s="447">
        <f>P18</f>
        <v>185</v>
      </c>
    </row>
    <row r="19" spans="1:21">
      <c r="A19" s="644"/>
      <c r="B19" s="25" t="s">
        <v>456</v>
      </c>
      <c r="C19" s="453">
        <v>40</v>
      </c>
      <c r="D19" s="201" t="s">
        <v>73</v>
      </c>
      <c r="E19" s="239">
        <v>5</v>
      </c>
      <c r="F19" s="388">
        <f t="shared" si="0"/>
        <v>200</v>
      </c>
      <c r="H19">
        <v>7</v>
      </c>
      <c r="I19" s="444" t="s">
        <v>393</v>
      </c>
      <c r="J19" s="445" t="s">
        <v>400</v>
      </c>
      <c r="K19" s="512">
        <v>75</v>
      </c>
      <c r="L19" s="501">
        <v>1100</v>
      </c>
      <c r="M19" s="501">
        <v>1200</v>
      </c>
      <c r="N19" s="501">
        <v>1000</v>
      </c>
      <c r="O19" s="501"/>
      <c r="P19" s="501"/>
      <c r="Q19" s="489">
        <f t="shared" si="7"/>
        <v>1735</v>
      </c>
      <c r="R19" s="446">
        <f t="shared" si="8"/>
        <v>1624</v>
      </c>
      <c r="S19" s="446">
        <f t="shared" si="6"/>
        <v>1545</v>
      </c>
      <c r="T19" s="446"/>
      <c r="U19" s="447"/>
    </row>
    <row r="20" spans="1:21">
      <c r="A20" s="644"/>
      <c r="B20" s="25" t="s">
        <v>707</v>
      </c>
      <c r="C20" s="453">
        <v>38</v>
      </c>
      <c r="D20" s="201" t="s">
        <v>30</v>
      </c>
      <c r="E20" s="239">
        <v>5</v>
      </c>
      <c r="F20" s="388">
        <f t="shared" si="0"/>
        <v>190</v>
      </c>
      <c r="H20">
        <v>10</v>
      </c>
      <c r="I20" s="444" t="s">
        <v>386</v>
      </c>
      <c r="J20" s="445" t="s">
        <v>400</v>
      </c>
      <c r="K20" s="512">
        <v>120</v>
      </c>
      <c r="L20" s="501">
        <v>1400</v>
      </c>
      <c r="M20" s="501">
        <v>1590</v>
      </c>
      <c r="N20" s="501">
        <v>2450</v>
      </c>
      <c r="O20" s="501"/>
      <c r="P20" s="501"/>
      <c r="Q20" s="489">
        <f t="shared" si="7"/>
        <v>2170</v>
      </c>
      <c r="R20" s="446">
        <f t="shared" si="8"/>
        <v>2119.3000000000002</v>
      </c>
      <c r="S20" s="446">
        <f t="shared" si="6"/>
        <v>3633</v>
      </c>
      <c r="T20" s="446"/>
      <c r="U20" s="447"/>
    </row>
    <row r="21" spans="1:21">
      <c r="A21" s="644"/>
      <c r="B21" s="25" t="s">
        <v>453</v>
      </c>
      <c r="C21" s="453">
        <v>38</v>
      </c>
      <c r="D21" s="201" t="s">
        <v>30</v>
      </c>
      <c r="E21" s="375">
        <v>0.01</v>
      </c>
      <c r="F21" s="387">
        <f t="shared" si="0"/>
        <v>0.38</v>
      </c>
      <c r="H21">
        <v>12</v>
      </c>
      <c r="I21" s="444" t="s">
        <v>392</v>
      </c>
      <c r="J21" s="445" t="s">
        <v>400</v>
      </c>
      <c r="K21" s="512">
        <v>90</v>
      </c>
      <c r="L21" s="501">
        <v>1300</v>
      </c>
      <c r="M21" s="501">
        <v>4000</v>
      </c>
      <c r="N21" s="501">
        <v>1800</v>
      </c>
      <c r="O21" s="501"/>
      <c r="P21" s="501">
        <v>1000</v>
      </c>
      <c r="Q21" s="489">
        <f t="shared" si="7"/>
        <v>2025</v>
      </c>
      <c r="R21" s="446">
        <f t="shared" si="8"/>
        <v>5180</v>
      </c>
      <c r="S21" s="446">
        <f t="shared" si="6"/>
        <v>2697</v>
      </c>
      <c r="T21" s="446"/>
      <c r="U21" s="447">
        <f>P21</f>
        <v>1000</v>
      </c>
    </row>
    <row r="22" spans="1:21">
      <c r="A22" s="644"/>
      <c r="B22" s="25" t="s">
        <v>454</v>
      </c>
      <c r="C22" s="453">
        <v>40</v>
      </c>
      <c r="D22" s="201" t="s">
        <v>32</v>
      </c>
      <c r="E22" s="375">
        <v>0.01</v>
      </c>
      <c r="F22" s="387">
        <f t="shared" si="0"/>
        <v>0.4</v>
      </c>
      <c r="H22">
        <v>14</v>
      </c>
      <c r="I22" s="448" t="s">
        <v>77</v>
      </c>
      <c r="J22" s="449" t="s">
        <v>400</v>
      </c>
      <c r="K22" s="513">
        <v>210</v>
      </c>
      <c r="L22" s="502">
        <v>1830</v>
      </c>
      <c r="M22" s="502">
        <v>3200</v>
      </c>
      <c r="N22" s="502">
        <v>2450</v>
      </c>
      <c r="O22" s="502"/>
      <c r="P22" s="502"/>
      <c r="Q22" s="490">
        <f t="shared" si="7"/>
        <v>2793.5</v>
      </c>
      <c r="R22" s="450">
        <f t="shared" si="8"/>
        <v>4164</v>
      </c>
      <c r="S22" s="450">
        <f t="shared" si="6"/>
        <v>3633</v>
      </c>
      <c r="T22" s="450"/>
      <c r="U22" s="451"/>
    </row>
    <row r="23" spans="1:21">
      <c r="A23" s="645"/>
      <c r="B23" s="29" t="s">
        <v>455</v>
      </c>
      <c r="C23" s="454">
        <v>37</v>
      </c>
      <c r="D23" s="343" t="s">
        <v>31</v>
      </c>
      <c r="E23" s="397">
        <v>1.4999999999999999E-2</v>
      </c>
      <c r="F23" s="391">
        <f t="shared" si="0"/>
        <v>0.55499999999999994</v>
      </c>
      <c r="H23">
        <v>1</v>
      </c>
      <c r="I23" s="420" t="s">
        <v>391</v>
      </c>
      <c r="J23" s="421" t="s">
        <v>401</v>
      </c>
      <c r="K23" s="514">
        <v>80</v>
      </c>
      <c r="L23" s="503">
        <v>1000</v>
      </c>
      <c r="M23" s="503">
        <v>775</v>
      </c>
      <c r="N23" s="503">
        <v>1050</v>
      </c>
      <c r="O23" s="503">
        <v>300</v>
      </c>
      <c r="P23" s="503">
        <v>10000</v>
      </c>
      <c r="Q23" s="491">
        <f>L23*(1+$F$4+$F$38)</f>
        <v>1790</v>
      </c>
      <c r="R23" s="422">
        <f>M23*(1+$F$5+$F$37)</f>
        <v>1286.5</v>
      </c>
      <c r="S23" s="422">
        <f>N23*(1+$F$6+$F$39)</f>
        <v>1480.5000000000002</v>
      </c>
      <c r="T23" s="422">
        <f>O23</f>
        <v>300</v>
      </c>
      <c r="U23" s="423">
        <f>P23</f>
        <v>10000</v>
      </c>
    </row>
    <row r="24" spans="1:21" ht="15" customHeight="1">
      <c r="A24" s="642" t="s">
        <v>437</v>
      </c>
      <c r="B24" s="110" t="s">
        <v>513</v>
      </c>
      <c r="C24" s="455">
        <v>12</v>
      </c>
      <c r="D24" s="392" t="s">
        <v>74</v>
      </c>
      <c r="E24" s="398">
        <v>0.03</v>
      </c>
      <c r="F24" s="410">
        <f t="shared" si="0"/>
        <v>0.36</v>
      </c>
      <c r="H24">
        <v>5</v>
      </c>
      <c r="I24" s="420" t="s">
        <v>390</v>
      </c>
      <c r="J24" s="421" t="s">
        <v>401</v>
      </c>
      <c r="K24" s="514">
        <v>180</v>
      </c>
      <c r="L24" s="503">
        <v>1475</v>
      </c>
      <c r="M24" s="503">
        <v>2200</v>
      </c>
      <c r="N24" s="503">
        <v>2700</v>
      </c>
      <c r="O24" s="503"/>
      <c r="P24" s="503"/>
      <c r="Q24" s="491">
        <f>L24*(1+$F$4+$F$38)</f>
        <v>2640.25</v>
      </c>
      <c r="R24" s="422">
        <f>M24*(1+$F$5+$F$37)</f>
        <v>3652.0000000000005</v>
      </c>
      <c r="S24" s="422">
        <f>N24*(1+$F$6+$F$39)</f>
        <v>3807.0000000000005</v>
      </c>
      <c r="T24" s="422"/>
      <c r="U24" s="423"/>
    </row>
    <row r="25" spans="1:21">
      <c r="A25" s="643"/>
      <c r="B25" s="29" t="s">
        <v>518</v>
      </c>
      <c r="C25" s="454">
        <v>12</v>
      </c>
      <c r="D25" s="343" t="s">
        <v>32</v>
      </c>
      <c r="E25" s="390">
        <v>0.05</v>
      </c>
      <c r="F25" s="409">
        <f t="shared" si="0"/>
        <v>0.60000000000000009</v>
      </c>
      <c r="H25">
        <v>9</v>
      </c>
      <c r="I25" s="420" t="s">
        <v>389</v>
      </c>
      <c r="J25" s="421" t="s">
        <v>401</v>
      </c>
      <c r="K25" s="514">
        <v>140</v>
      </c>
      <c r="L25" s="503">
        <v>1420</v>
      </c>
      <c r="M25" s="503">
        <v>800</v>
      </c>
      <c r="N25" s="503">
        <v>1425</v>
      </c>
      <c r="O25" s="503"/>
      <c r="P25" s="503"/>
      <c r="Q25" s="491">
        <f>L25*(1+$F$4+$F$38)</f>
        <v>2541.8000000000002</v>
      </c>
      <c r="R25" s="422">
        <f>M25*(1+$F$5+$F$37)</f>
        <v>1328</v>
      </c>
      <c r="S25" s="422">
        <f>N25*(1+$F$6+$F$39)</f>
        <v>2009.2500000000002</v>
      </c>
      <c r="T25" s="422"/>
      <c r="U25" s="423"/>
    </row>
    <row r="26" spans="1:21" ht="15" customHeight="1">
      <c r="A26" s="648" t="s">
        <v>438</v>
      </c>
      <c r="B26" s="110" t="s">
        <v>804</v>
      </c>
      <c r="C26" s="455">
        <v>10</v>
      </c>
      <c r="D26" s="392" t="s">
        <v>32</v>
      </c>
      <c r="E26" s="398">
        <v>0.1</v>
      </c>
      <c r="F26" s="410">
        <f t="shared" ref="F26:F35" si="9">C26*E26</f>
        <v>1</v>
      </c>
      <c r="H26">
        <v>13</v>
      </c>
      <c r="I26" s="420" t="s">
        <v>388</v>
      </c>
      <c r="J26" s="421" t="s">
        <v>401</v>
      </c>
      <c r="K26" s="514">
        <v>240</v>
      </c>
      <c r="L26" s="503">
        <v>5215</v>
      </c>
      <c r="M26" s="503">
        <v>4685</v>
      </c>
      <c r="N26" s="503">
        <v>4985</v>
      </c>
      <c r="O26" s="503"/>
      <c r="P26" s="503"/>
      <c r="Q26" s="491">
        <f>L26*(1+$F$4+$F$38)</f>
        <v>9334.85</v>
      </c>
      <c r="R26" s="422">
        <f>M26*(1+$F$5+$F$37)</f>
        <v>7777.1</v>
      </c>
      <c r="S26" s="422">
        <f>N26*(1+$F$6+$F$39)</f>
        <v>7028.85</v>
      </c>
      <c r="T26" s="422"/>
      <c r="U26" s="423"/>
    </row>
    <row r="27" spans="1:21">
      <c r="A27" s="644"/>
      <c r="B27" s="25" t="s">
        <v>803</v>
      </c>
      <c r="C27" s="453">
        <v>10</v>
      </c>
      <c r="D27" s="201" t="s">
        <v>30</v>
      </c>
      <c r="E27" s="375">
        <v>0.1</v>
      </c>
      <c r="F27" s="407">
        <f t="shared" si="9"/>
        <v>1</v>
      </c>
      <c r="H27">
        <v>18</v>
      </c>
      <c r="I27" s="424" t="s">
        <v>80</v>
      </c>
      <c r="J27" s="425" t="s">
        <v>401</v>
      </c>
      <c r="K27" s="515">
        <v>300</v>
      </c>
      <c r="L27" s="504">
        <v>6200</v>
      </c>
      <c r="M27" s="504">
        <v>5200</v>
      </c>
      <c r="N27" s="504">
        <v>7200</v>
      </c>
      <c r="O27" s="504"/>
      <c r="P27" s="504"/>
      <c r="Q27" s="492">
        <f>L27*(1+$F$4+$F$38)</f>
        <v>11098</v>
      </c>
      <c r="R27" s="426">
        <f>M27*(1+$F$5+$F$37)</f>
        <v>8632</v>
      </c>
      <c r="S27" s="426">
        <f>N27*(1+$F$6+$F$39)</f>
        <v>10152.000000000002</v>
      </c>
      <c r="T27" s="426"/>
      <c r="U27" s="427"/>
    </row>
    <row r="28" spans="1:21">
      <c r="A28" s="644"/>
      <c r="B28" s="25" t="s">
        <v>729</v>
      </c>
      <c r="C28" s="453">
        <v>15</v>
      </c>
      <c r="D28" s="201" t="s">
        <v>32</v>
      </c>
      <c r="E28" s="375">
        <v>0.08</v>
      </c>
      <c r="F28" s="407">
        <f t="shared" si="9"/>
        <v>1.2</v>
      </c>
      <c r="H28">
        <v>1</v>
      </c>
      <c r="I28" s="412" t="s">
        <v>402</v>
      </c>
      <c r="J28" s="413" t="s">
        <v>402</v>
      </c>
      <c r="K28" s="516">
        <f>200/15*C43</f>
        <v>200</v>
      </c>
      <c r="L28" s="505">
        <v>410</v>
      </c>
      <c r="M28" s="505">
        <v>395</v>
      </c>
      <c r="N28" s="505">
        <v>390</v>
      </c>
      <c r="O28" s="505"/>
      <c r="P28" s="505"/>
      <c r="Q28" s="493">
        <f>L28*$F$41*$F$43*(1+$F$9+$F$38)</f>
        <v>6243.48</v>
      </c>
      <c r="R28" s="414">
        <f>M28*$F$41*$F$43*(1+$F$7+$F$37)</f>
        <v>8318.7000000000007</v>
      </c>
      <c r="S28" s="414">
        <f>N28*$F$41*$F$43*(1+$F$8+$F$39)</f>
        <v>5981.04</v>
      </c>
      <c r="T28" s="414"/>
      <c r="U28" s="415"/>
    </row>
    <row r="29" spans="1:21">
      <c r="A29" s="644"/>
      <c r="B29" s="25" t="s">
        <v>730</v>
      </c>
      <c r="C29" s="453">
        <v>15</v>
      </c>
      <c r="D29" s="201" t="s">
        <v>30</v>
      </c>
      <c r="E29" s="375">
        <v>0.08</v>
      </c>
      <c r="F29" s="407">
        <f t="shared" si="9"/>
        <v>1.2</v>
      </c>
      <c r="H29">
        <v>4</v>
      </c>
      <c r="I29" s="412" t="s">
        <v>698</v>
      </c>
      <c r="J29" s="413" t="s">
        <v>402</v>
      </c>
      <c r="K29" s="516">
        <f>225/15*C43</f>
        <v>225</v>
      </c>
      <c r="L29" s="505">
        <v>127</v>
      </c>
      <c r="M29" s="505">
        <v>440</v>
      </c>
      <c r="N29" s="505">
        <v>625</v>
      </c>
      <c r="O29" s="505"/>
      <c r="P29" s="505"/>
      <c r="Q29" s="493">
        <f>L29*$F$41*$F$43*(1+$F$9+$F$38)</f>
        <v>1933.9560000000001</v>
      </c>
      <c r="R29" s="414">
        <f>M29*$F$41*$F$43*(1+$F$7+$F$37)</f>
        <v>9266.4000000000015</v>
      </c>
      <c r="S29" s="414">
        <f>N29*$F$41*$F$43*(1+$F$8+$F$39)</f>
        <v>9585</v>
      </c>
      <c r="T29" s="414"/>
      <c r="U29" s="415"/>
    </row>
    <row r="30" spans="1:21">
      <c r="A30" s="644"/>
      <c r="B30" s="25" t="s">
        <v>708</v>
      </c>
      <c r="C30" s="453">
        <v>20</v>
      </c>
      <c r="D30" s="201" t="s">
        <v>30</v>
      </c>
      <c r="E30" s="375">
        <v>0.06</v>
      </c>
      <c r="F30" s="407">
        <f t="shared" si="9"/>
        <v>1.2</v>
      </c>
      <c r="H30">
        <v>7</v>
      </c>
      <c r="I30" s="412" t="s">
        <v>776</v>
      </c>
      <c r="J30" s="413" t="s">
        <v>402</v>
      </c>
      <c r="K30" s="516">
        <f>250/15*C43</f>
        <v>250.00000000000003</v>
      </c>
      <c r="L30" s="505">
        <v>396</v>
      </c>
      <c r="M30" s="505">
        <v>305</v>
      </c>
      <c r="N30" s="505">
        <v>351</v>
      </c>
      <c r="O30" s="505"/>
      <c r="P30" s="505"/>
      <c r="Q30" s="493">
        <f>L30*$F$41*$F$43*(1+$F$9+$F$38)</f>
        <v>6030.2879999999996</v>
      </c>
      <c r="R30" s="414">
        <f>M30*$F$41*$F$43*(1+$F$7+$F$37)</f>
        <v>6423.3</v>
      </c>
      <c r="S30" s="414">
        <f>N30*$F$41*$F$43*(1+$F$8+$F$39)</f>
        <v>5382.9359999999997</v>
      </c>
      <c r="T30" s="414"/>
      <c r="U30" s="415"/>
    </row>
    <row r="31" spans="1:21">
      <c r="A31" s="644"/>
      <c r="B31" s="25" t="s">
        <v>709</v>
      </c>
      <c r="C31" s="453">
        <v>20</v>
      </c>
      <c r="D31" s="201" t="s">
        <v>32</v>
      </c>
      <c r="E31" s="375">
        <v>0.06</v>
      </c>
      <c r="F31" s="407">
        <f t="shared" si="9"/>
        <v>1.2</v>
      </c>
      <c r="H31">
        <v>10</v>
      </c>
      <c r="I31" s="412" t="s">
        <v>382</v>
      </c>
      <c r="J31" s="413" t="s">
        <v>402</v>
      </c>
      <c r="K31" s="516">
        <f>275/15*C43</f>
        <v>275</v>
      </c>
      <c r="L31" s="505">
        <v>498</v>
      </c>
      <c r="M31" s="505">
        <v>455</v>
      </c>
      <c r="N31" s="505">
        <v>508</v>
      </c>
      <c r="O31" s="505"/>
      <c r="P31" s="505"/>
      <c r="Q31" s="493">
        <f>L31*$F$41*$F$43*(1+$F$9+$F$38)</f>
        <v>7583.5440000000008</v>
      </c>
      <c r="R31" s="414">
        <f>M31*$F$41*$F$43*(1+$F$7+$F$37)</f>
        <v>9582.3000000000011</v>
      </c>
      <c r="S31" s="414">
        <f>N31*$F$41*$F$43*(1+$F$8+$F$39)</f>
        <v>7790.6880000000001</v>
      </c>
      <c r="T31" s="414"/>
      <c r="U31" s="415"/>
    </row>
    <row r="32" spans="1:21">
      <c r="A32" s="644"/>
      <c r="B32" s="25" t="s">
        <v>503</v>
      </c>
      <c r="C32" s="453">
        <v>25</v>
      </c>
      <c r="D32" s="201" t="s">
        <v>30</v>
      </c>
      <c r="E32" s="375">
        <v>0.04</v>
      </c>
      <c r="F32" s="407">
        <f t="shared" si="9"/>
        <v>1</v>
      </c>
      <c r="H32">
        <v>13</v>
      </c>
      <c r="I32" s="416" t="s">
        <v>75</v>
      </c>
      <c r="J32" s="417" t="s">
        <v>402</v>
      </c>
      <c r="K32" s="517">
        <f>300/15*C43</f>
        <v>300</v>
      </c>
      <c r="L32" s="506">
        <v>623</v>
      </c>
      <c r="M32" s="506">
        <v>127</v>
      </c>
      <c r="N32" s="506">
        <v>278</v>
      </c>
      <c r="O32" s="506"/>
      <c r="P32" s="506"/>
      <c r="Q32" s="494">
        <f>L32*$F$41*$F$43*(1+$F$9+$F$38)</f>
        <v>9487.0439999999999</v>
      </c>
      <c r="R32" s="418">
        <f>M32*$F$41*$F$43*(1+$F$7+$F$37)</f>
        <v>2674.6200000000003</v>
      </c>
      <c r="S32" s="418">
        <f>N32*$F$41*$F$43*(1+$F$8+$F$39)</f>
        <v>4263.4080000000004</v>
      </c>
      <c r="T32" s="418"/>
      <c r="U32" s="419"/>
    </row>
    <row r="33" spans="1:21">
      <c r="A33" s="644"/>
      <c r="B33" s="25" t="s">
        <v>504</v>
      </c>
      <c r="C33" s="453">
        <v>25</v>
      </c>
      <c r="D33" s="201" t="s">
        <v>32</v>
      </c>
      <c r="E33" s="375">
        <v>0.04</v>
      </c>
      <c r="F33" s="407">
        <f t="shared" si="9"/>
        <v>1</v>
      </c>
      <c r="H33">
        <v>1</v>
      </c>
      <c r="I33" s="428" t="s">
        <v>777</v>
      </c>
      <c r="J33" s="429" t="s">
        <v>783</v>
      </c>
      <c r="K33" s="518">
        <v>50</v>
      </c>
      <c r="L33" s="507">
        <v>175</v>
      </c>
      <c r="M33" s="507">
        <v>500</v>
      </c>
      <c r="N33" s="507">
        <v>550</v>
      </c>
      <c r="O33" s="507"/>
      <c r="P33" s="507"/>
      <c r="Q33" s="495">
        <f t="shared" ref="Q33:Q49" si="10">L33*(1+$F$29+$F$30+$F$32)</f>
        <v>770.00000000000011</v>
      </c>
      <c r="R33" s="430">
        <f t="shared" ref="R33:R49" si="11">M33*(1+$F$35)</f>
        <v>1125</v>
      </c>
      <c r="S33" s="430">
        <f t="shared" ref="S33:S49" si="12">N33*(1+$F$28+$F$31+$F$33)</f>
        <v>2420</v>
      </c>
      <c r="T33" s="430"/>
      <c r="U33" s="431"/>
    </row>
    <row r="34" spans="1:21">
      <c r="A34" s="644"/>
      <c r="B34" s="25" t="s">
        <v>505</v>
      </c>
      <c r="C34" s="453">
        <v>20</v>
      </c>
      <c r="D34" s="201" t="s">
        <v>73</v>
      </c>
      <c r="E34" s="239">
        <v>25</v>
      </c>
      <c r="F34" s="388">
        <f t="shared" si="9"/>
        <v>500</v>
      </c>
      <c r="H34">
        <v>2</v>
      </c>
      <c r="I34" s="428" t="s">
        <v>791</v>
      </c>
      <c r="J34" s="429" t="s">
        <v>783</v>
      </c>
      <c r="K34" s="518">
        <v>50</v>
      </c>
      <c r="L34" s="507">
        <v>0</v>
      </c>
      <c r="M34" s="507">
        <v>300</v>
      </c>
      <c r="N34" s="507">
        <v>250</v>
      </c>
      <c r="O34" s="507">
        <v>10</v>
      </c>
      <c r="P34" s="507"/>
      <c r="Q34" s="495">
        <f t="shared" si="10"/>
        <v>0</v>
      </c>
      <c r="R34" s="430">
        <f t="shared" si="11"/>
        <v>675</v>
      </c>
      <c r="S34" s="430">
        <f t="shared" si="12"/>
        <v>1100</v>
      </c>
      <c r="T34" s="430">
        <f>O34+$F$34</f>
        <v>510</v>
      </c>
      <c r="U34" s="431"/>
    </row>
    <row r="35" spans="1:21">
      <c r="A35" s="645"/>
      <c r="B35" s="29" t="s">
        <v>506</v>
      </c>
      <c r="C35" s="454">
        <v>25</v>
      </c>
      <c r="D35" s="343" t="s">
        <v>31</v>
      </c>
      <c r="E35" s="390">
        <v>0.05</v>
      </c>
      <c r="F35" s="409">
        <f t="shared" si="9"/>
        <v>1.25</v>
      </c>
      <c r="H35">
        <v>3</v>
      </c>
      <c r="I35" s="428" t="s">
        <v>778</v>
      </c>
      <c r="J35" s="429" t="s">
        <v>783</v>
      </c>
      <c r="K35" s="518">
        <v>300</v>
      </c>
      <c r="L35" s="507">
        <v>0</v>
      </c>
      <c r="M35" s="507">
        <v>5000</v>
      </c>
      <c r="N35" s="507">
        <v>10000</v>
      </c>
      <c r="O35" s="507"/>
      <c r="P35" s="507"/>
      <c r="Q35" s="495">
        <f t="shared" si="10"/>
        <v>0</v>
      </c>
      <c r="R35" s="430">
        <f t="shared" si="11"/>
        <v>11250</v>
      </c>
      <c r="S35" s="430">
        <f t="shared" si="12"/>
        <v>44000</v>
      </c>
      <c r="T35" s="430"/>
      <c r="U35" s="431"/>
    </row>
    <row r="36" spans="1:21">
      <c r="A36" s="111"/>
      <c r="B36" s="71" t="s">
        <v>675</v>
      </c>
      <c r="C36" s="399" t="s">
        <v>59</v>
      </c>
      <c r="D36" s="399" t="s">
        <v>395</v>
      </c>
      <c r="E36" s="374" t="s">
        <v>770</v>
      </c>
      <c r="F36" s="400" t="s">
        <v>445</v>
      </c>
      <c r="H36">
        <v>4</v>
      </c>
      <c r="I36" s="428" t="s">
        <v>779</v>
      </c>
      <c r="J36" s="429" t="s">
        <v>783</v>
      </c>
      <c r="K36" s="518">
        <v>100</v>
      </c>
      <c r="L36" s="507">
        <v>800</v>
      </c>
      <c r="M36" s="507">
        <v>800</v>
      </c>
      <c r="N36" s="507">
        <v>800</v>
      </c>
      <c r="O36" s="507"/>
      <c r="P36" s="507"/>
      <c r="Q36" s="495">
        <f t="shared" si="10"/>
        <v>3520.0000000000005</v>
      </c>
      <c r="R36" s="430">
        <f t="shared" si="11"/>
        <v>1800</v>
      </c>
      <c r="S36" s="430">
        <f t="shared" si="12"/>
        <v>3520.0000000000005</v>
      </c>
      <c r="T36" s="430"/>
      <c r="U36" s="431"/>
    </row>
    <row r="37" spans="1:21">
      <c r="A37" s="644" t="s">
        <v>775</v>
      </c>
      <c r="B37" s="25" t="s">
        <v>457</v>
      </c>
      <c r="C37" s="453">
        <v>0</v>
      </c>
      <c r="D37" s="201" t="s">
        <v>31</v>
      </c>
      <c r="E37" s="375">
        <v>0.05</v>
      </c>
      <c r="F37" s="407">
        <f>C37*E37</f>
        <v>0</v>
      </c>
      <c r="H37">
        <v>5</v>
      </c>
      <c r="I37" s="428" t="s">
        <v>780</v>
      </c>
      <c r="J37" s="429" t="s">
        <v>783</v>
      </c>
      <c r="K37" s="518">
        <v>10</v>
      </c>
      <c r="L37" s="507">
        <v>300</v>
      </c>
      <c r="M37" s="507">
        <v>10</v>
      </c>
      <c r="N37" s="507">
        <v>35</v>
      </c>
      <c r="O37" s="507"/>
      <c r="P37" s="507"/>
      <c r="Q37" s="495">
        <f t="shared" si="10"/>
        <v>1320</v>
      </c>
      <c r="R37" s="430">
        <f t="shared" si="11"/>
        <v>22.5</v>
      </c>
      <c r="S37" s="430">
        <f t="shared" si="12"/>
        <v>154</v>
      </c>
      <c r="T37" s="430"/>
      <c r="U37" s="431"/>
    </row>
    <row r="38" spans="1:21">
      <c r="A38" s="644"/>
      <c r="B38" s="25" t="s">
        <v>459</v>
      </c>
      <c r="C38" s="453">
        <v>1</v>
      </c>
      <c r="D38" s="201" t="s">
        <v>30</v>
      </c>
      <c r="E38" s="375">
        <v>0.03</v>
      </c>
      <c r="F38" s="407">
        <f>C38*E38</f>
        <v>0.03</v>
      </c>
      <c r="H38">
        <v>6</v>
      </c>
      <c r="I38" s="428" t="s">
        <v>793</v>
      </c>
      <c r="J38" s="429" t="s">
        <v>783</v>
      </c>
      <c r="K38" s="518">
        <v>75</v>
      </c>
      <c r="L38" s="507">
        <v>0</v>
      </c>
      <c r="M38" s="507">
        <v>1400</v>
      </c>
      <c r="N38" s="507">
        <v>2000</v>
      </c>
      <c r="O38" s="507">
        <v>20</v>
      </c>
      <c r="P38" s="507"/>
      <c r="Q38" s="495">
        <f t="shared" si="10"/>
        <v>0</v>
      </c>
      <c r="R38" s="430">
        <f t="shared" si="11"/>
        <v>3150</v>
      </c>
      <c r="S38" s="430">
        <f t="shared" si="12"/>
        <v>8800</v>
      </c>
      <c r="T38" s="430">
        <f>O38+$F$34</f>
        <v>520</v>
      </c>
      <c r="U38" s="431"/>
    </row>
    <row r="39" spans="1:21">
      <c r="A39" s="645"/>
      <c r="B39" s="29" t="s">
        <v>458</v>
      </c>
      <c r="C39" s="454">
        <v>2</v>
      </c>
      <c r="D39" s="343" t="s">
        <v>32</v>
      </c>
      <c r="E39" s="390">
        <v>0.02</v>
      </c>
      <c r="F39" s="409">
        <f>C39*E39</f>
        <v>0.04</v>
      </c>
      <c r="H39">
        <v>8</v>
      </c>
      <c r="I39" s="428" t="s">
        <v>788</v>
      </c>
      <c r="J39" s="429" t="s">
        <v>783</v>
      </c>
      <c r="K39" s="518">
        <v>200</v>
      </c>
      <c r="L39" s="507">
        <v>1200</v>
      </c>
      <c r="M39" s="507">
        <v>800</v>
      </c>
      <c r="N39" s="507">
        <v>800</v>
      </c>
      <c r="O39" s="507"/>
      <c r="P39" s="507"/>
      <c r="Q39" s="495">
        <f t="shared" si="10"/>
        <v>5280</v>
      </c>
      <c r="R39" s="430">
        <f t="shared" si="11"/>
        <v>1800</v>
      </c>
      <c r="S39" s="430">
        <f t="shared" si="12"/>
        <v>3520.0000000000005</v>
      </c>
      <c r="T39" s="430"/>
      <c r="U39" s="431"/>
    </row>
    <row r="40" spans="1:21">
      <c r="A40" s="401"/>
      <c r="B40" s="402"/>
      <c r="C40" s="403" t="s">
        <v>59</v>
      </c>
      <c r="D40" s="404"/>
      <c r="E40" s="405"/>
      <c r="F40" s="406" t="s">
        <v>786</v>
      </c>
      <c r="H40">
        <v>8</v>
      </c>
      <c r="I40" s="428" t="s">
        <v>789</v>
      </c>
      <c r="J40" s="429" t="s">
        <v>783</v>
      </c>
      <c r="K40" s="518">
        <v>200</v>
      </c>
      <c r="L40" s="507">
        <v>1200</v>
      </c>
      <c r="M40" s="507">
        <v>800</v>
      </c>
      <c r="N40" s="507">
        <v>800</v>
      </c>
      <c r="O40" s="507"/>
      <c r="P40" s="507"/>
      <c r="Q40" s="495">
        <f t="shared" si="10"/>
        <v>5280</v>
      </c>
      <c r="R40" s="430">
        <f t="shared" si="11"/>
        <v>1800</v>
      </c>
      <c r="S40" s="430">
        <f t="shared" si="12"/>
        <v>3520.0000000000005</v>
      </c>
      <c r="T40" s="430"/>
      <c r="U40" s="431"/>
    </row>
    <row r="41" spans="1:21">
      <c r="A41" s="644" t="s">
        <v>772</v>
      </c>
      <c r="B41" s="25" t="s">
        <v>377</v>
      </c>
      <c r="C41" s="454">
        <v>12</v>
      </c>
      <c r="D41" s="201" t="s">
        <v>784</v>
      </c>
      <c r="E41" s="375">
        <v>1</v>
      </c>
      <c r="F41" s="407">
        <f>C41*E41</f>
        <v>12</v>
      </c>
      <c r="H41">
        <v>8</v>
      </c>
      <c r="I41" s="428" t="s">
        <v>790</v>
      </c>
      <c r="J41" s="429" t="s">
        <v>783</v>
      </c>
      <c r="K41" s="518">
        <v>200</v>
      </c>
      <c r="L41" s="507">
        <v>1400</v>
      </c>
      <c r="M41" s="507">
        <v>800</v>
      </c>
      <c r="N41" s="507">
        <v>800</v>
      </c>
      <c r="O41" s="507"/>
      <c r="P41" s="507"/>
      <c r="Q41" s="495">
        <f t="shared" si="10"/>
        <v>6160.0000000000009</v>
      </c>
      <c r="R41" s="430">
        <f t="shared" si="11"/>
        <v>1800</v>
      </c>
      <c r="S41" s="430">
        <f t="shared" si="12"/>
        <v>3520.0000000000005</v>
      </c>
      <c r="T41" s="430"/>
      <c r="U41" s="431"/>
    </row>
    <row r="42" spans="1:21">
      <c r="A42" s="644"/>
      <c r="B42" s="25"/>
      <c r="C42" s="300" t="s">
        <v>743</v>
      </c>
      <c r="D42" s="201"/>
      <c r="E42" s="239"/>
      <c r="F42" s="388"/>
      <c r="H42">
        <v>8</v>
      </c>
      <c r="I42" s="428" t="s">
        <v>795</v>
      </c>
      <c r="J42" s="429" t="s">
        <v>783</v>
      </c>
      <c r="K42" s="518">
        <v>200</v>
      </c>
      <c r="L42" s="507">
        <v>1400</v>
      </c>
      <c r="M42" s="507">
        <v>800</v>
      </c>
      <c r="N42" s="507">
        <v>800</v>
      </c>
      <c r="O42" s="507"/>
      <c r="P42" s="507"/>
      <c r="Q42" s="495">
        <f t="shared" si="10"/>
        <v>6160.0000000000009</v>
      </c>
      <c r="R42" s="430">
        <f t="shared" si="11"/>
        <v>1800</v>
      </c>
      <c r="S42" s="430">
        <f t="shared" si="12"/>
        <v>3520.0000000000005</v>
      </c>
      <c r="T42" s="430"/>
      <c r="U42" s="431"/>
    </row>
    <row r="43" spans="1:21" ht="15.75" thickBot="1">
      <c r="A43" s="646"/>
      <c r="B43" s="108" t="s">
        <v>785</v>
      </c>
      <c r="C43" s="456">
        <v>15</v>
      </c>
      <c r="D43" s="384" t="s">
        <v>784</v>
      </c>
      <c r="E43" s="377"/>
      <c r="F43" s="408">
        <f>IF(C43=2.5,0.1,IF(C43=5,0.2,IF(C43=7.5,0.4,IF(C43=10,0.5,IF(C43=12.5,0.7,IF(C43=15,0.9,0))))))</f>
        <v>0.9</v>
      </c>
      <c r="H43">
        <v>10</v>
      </c>
      <c r="I43" s="428" t="s">
        <v>782</v>
      </c>
      <c r="J43" s="429" t="s">
        <v>783</v>
      </c>
      <c r="K43" s="518">
        <v>800</v>
      </c>
      <c r="L43" s="507">
        <v>0</v>
      </c>
      <c r="M43" s="507">
        <v>30000</v>
      </c>
      <c r="N43" s="507">
        <v>50000</v>
      </c>
      <c r="O43" s="507"/>
      <c r="P43" s="507"/>
      <c r="Q43" s="495">
        <f t="shared" si="10"/>
        <v>0</v>
      </c>
      <c r="R43" s="430">
        <f t="shared" si="11"/>
        <v>67500</v>
      </c>
      <c r="S43" s="430">
        <f t="shared" si="12"/>
        <v>220000.00000000003</v>
      </c>
      <c r="T43" s="430"/>
      <c r="U43" s="431"/>
    </row>
    <row r="44" spans="1:21">
      <c r="H44">
        <v>12</v>
      </c>
      <c r="I44" s="428" t="s">
        <v>781</v>
      </c>
      <c r="J44" s="429" t="s">
        <v>783</v>
      </c>
      <c r="K44" s="518">
        <v>400</v>
      </c>
      <c r="L44" s="507">
        <v>10000</v>
      </c>
      <c r="M44" s="507">
        <v>6000</v>
      </c>
      <c r="N44" s="507">
        <v>5000</v>
      </c>
      <c r="O44" s="507"/>
      <c r="P44" s="507"/>
      <c r="Q44" s="495">
        <f t="shared" si="10"/>
        <v>44000</v>
      </c>
      <c r="R44" s="430">
        <f t="shared" si="11"/>
        <v>13500</v>
      </c>
      <c r="S44" s="430">
        <f t="shared" si="12"/>
        <v>22000</v>
      </c>
      <c r="T44" s="430"/>
      <c r="U44" s="431"/>
    </row>
    <row r="45" spans="1:21">
      <c r="H45">
        <v>13</v>
      </c>
      <c r="I45" s="428" t="s">
        <v>792</v>
      </c>
      <c r="J45" s="429" t="s">
        <v>783</v>
      </c>
      <c r="K45" s="518">
        <v>200</v>
      </c>
      <c r="L45" s="507">
        <v>0</v>
      </c>
      <c r="M45" s="507">
        <v>7500</v>
      </c>
      <c r="N45" s="507">
        <v>10000</v>
      </c>
      <c r="O45" s="507">
        <v>30</v>
      </c>
      <c r="P45" s="507"/>
      <c r="Q45" s="495">
        <f t="shared" si="10"/>
        <v>0</v>
      </c>
      <c r="R45" s="430">
        <f t="shared" si="11"/>
        <v>16875</v>
      </c>
      <c r="S45" s="430">
        <f t="shared" si="12"/>
        <v>44000</v>
      </c>
      <c r="T45" s="430">
        <f>O45+$F$34</f>
        <v>530</v>
      </c>
      <c r="U45" s="431"/>
    </row>
    <row r="46" spans="1:21">
      <c r="H46">
        <v>15</v>
      </c>
      <c r="I46" s="428" t="s">
        <v>798</v>
      </c>
      <c r="J46" s="429" t="s">
        <v>783</v>
      </c>
      <c r="K46" s="518">
        <v>200</v>
      </c>
      <c r="L46" s="507">
        <v>1200</v>
      </c>
      <c r="M46" s="507">
        <v>800</v>
      </c>
      <c r="N46" s="507">
        <v>800</v>
      </c>
      <c r="O46" s="507"/>
      <c r="P46" s="507"/>
      <c r="Q46" s="495">
        <f t="shared" si="10"/>
        <v>5280</v>
      </c>
      <c r="R46" s="430">
        <f t="shared" si="11"/>
        <v>1800</v>
      </c>
      <c r="S46" s="430">
        <f t="shared" si="12"/>
        <v>3520.0000000000005</v>
      </c>
      <c r="T46" s="430"/>
      <c r="U46" s="431"/>
    </row>
    <row r="47" spans="1:21">
      <c r="H47">
        <v>15</v>
      </c>
      <c r="I47" s="428" t="s">
        <v>799</v>
      </c>
      <c r="J47" s="429" t="s">
        <v>783</v>
      </c>
      <c r="K47" s="518">
        <v>200</v>
      </c>
      <c r="L47" s="507">
        <v>1200</v>
      </c>
      <c r="M47" s="507">
        <v>800</v>
      </c>
      <c r="N47" s="507">
        <v>800</v>
      </c>
      <c r="O47" s="507"/>
      <c r="P47" s="507"/>
      <c r="Q47" s="495">
        <f t="shared" si="10"/>
        <v>5280</v>
      </c>
      <c r="R47" s="430">
        <f t="shared" si="11"/>
        <v>1800</v>
      </c>
      <c r="S47" s="430">
        <f t="shared" si="12"/>
        <v>3520.0000000000005</v>
      </c>
      <c r="T47" s="430"/>
      <c r="U47" s="431"/>
    </row>
    <row r="48" spans="1:21">
      <c r="H48">
        <v>15</v>
      </c>
      <c r="I48" s="428" t="s">
        <v>796</v>
      </c>
      <c r="J48" s="429" t="s">
        <v>783</v>
      </c>
      <c r="K48" s="518">
        <v>200</v>
      </c>
      <c r="L48" s="507">
        <v>1400</v>
      </c>
      <c r="M48" s="507">
        <v>800</v>
      </c>
      <c r="N48" s="507">
        <v>800</v>
      </c>
      <c r="O48" s="507"/>
      <c r="P48" s="507"/>
      <c r="Q48" s="495">
        <f t="shared" si="10"/>
        <v>6160.0000000000009</v>
      </c>
      <c r="R48" s="430">
        <f t="shared" si="11"/>
        <v>1800</v>
      </c>
      <c r="S48" s="430">
        <f t="shared" si="12"/>
        <v>3520.0000000000005</v>
      </c>
      <c r="T48" s="430"/>
      <c r="U48" s="431"/>
    </row>
    <row r="49" spans="8:21" ht="15.75" thickBot="1">
      <c r="H49">
        <v>15</v>
      </c>
      <c r="I49" s="432" t="s">
        <v>797</v>
      </c>
      <c r="J49" s="433" t="s">
        <v>783</v>
      </c>
      <c r="K49" s="519">
        <v>200</v>
      </c>
      <c r="L49" s="508">
        <v>1400</v>
      </c>
      <c r="M49" s="508">
        <v>800</v>
      </c>
      <c r="N49" s="508">
        <v>800</v>
      </c>
      <c r="O49" s="508"/>
      <c r="P49" s="508"/>
      <c r="Q49" s="496">
        <f t="shared" si="10"/>
        <v>6160.0000000000009</v>
      </c>
      <c r="R49" s="434">
        <f t="shared" si="11"/>
        <v>1800</v>
      </c>
      <c r="S49" s="434">
        <f t="shared" si="12"/>
        <v>3520.0000000000005</v>
      </c>
      <c r="T49" s="434"/>
      <c r="U49" s="435"/>
    </row>
  </sheetData>
  <mergeCells count="10">
    <mergeCell ref="Q2:U2"/>
    <mergeCell ref="A4:A6"/>
    <mergeCell ref="A7:A9"/>
    <mergeCell ref="A10:A16"/>
    <mergeCell ref="A17:A23"/>
    <mergeCell ref="A24:A25"/>
    <mergeCell ref="A37:A39"/>
    <mergeCell ref="A41:A43"/>
    <mergeCell ref="L2:P2"/>
    <mergeCell ref="A26:A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Hauptrunde</vt:lpstr>
      <vt:lpstr>Monsterfeldrechner</vt:lpstr>
      <vt:lpstr>Forschungskosten</vt:lpstr>
      <vt:lpstr>Daily</vt:lpstr>
      <vt:lpstr>Baukosten</vt:lpstr>
      <vt:lpstr>Gebäudebauzeit</vt:lpstr>
      <vt:lpstr>Levelrechner</vt:lpstr>
      <vt:lpstr>DamageCalc</vt:lpstr>
      <vt:lpstr>Einheitenwerte</vt:lpstr>
      <vt:lpstr>Start</vt:lpstr>
      <vt:lpstr>Eiersuche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 Kaltwasser</cp:lastModifiedBy>
  <dcterms:created xsi:type="dcterms:W3CDTF">2016-01-30T23:41:03Z</dcterms:created>
  <dcterms:modified xsi:type="dcterms:W3CDTF">2025-08-02T15:11:27Z</dcterms:modified>
</cp:coreProperties>
</file>